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jonmo\My Drive\! ) Articles\! ) ABC Aero Article\Enhanced Version CVAT\"/>
    </mc:Choice>
  </mc:AlternateContent>
  <xr:revisionPtr revIDLastSave="0" documentId="13_ncr:1_{AB013E9A-A9F9-48BC-A9AC-741F18B70113}" xr6:coauthVersionLast="47" xr6:coauthVersionMax="47" xr10:uidLastSave="{00000000-0000-0000-0000-000000000000}"/>
  <bookViews>
    <workbookView xWindow="377" yWindow="377" windowWidth="16457" windowHeight="11272" xr2:uid="{7362F07D-5701-45C9-AA27-E1C00C4403BD}"/>
  </bookViews>
  <sheets>
    <sheet name="Aerodynamic Noise ABC" sheetId="1" r:id="rId1"/>
    <sheet name="About the worksheet" sheetId="4" r:id="rId2"/>
    <sheet name="Calculation Method" sheetId="2" r:id="rId3"/>
    <sheet name="Gas Sonic Vel Calculator" sheetId="3" r:id="rId4"/>
  </sheets>
  <definedNames>
    <definedName name="_c1">'Aerodynamic Noise ABC'!$H$64</definedName>
    <definedName name="A">'Aerodynamic Noise ABC'!$E$45</definedName>
    <definedName name="B">'Aerodynamic Noise ABC'!$E$46</definedName>
    <definedName name="C_">'Aerodynamic Noise ABC'!$E$47</definedName>
    <definedName name="C_v">'Aerodynamic Noise ABC'!$E$14</definedName>
    <definedName name="ci">'Aerodynamic Noise ABC'!$E$37</definedName>
    <definedName name="ci_">'Aerodynamic Noise ABC'!$E$10</definedName>
    <definedName name="d">'Aerodynamic Noise ABC'!#REF!</definedName>
    <definedName name="D_2">'Aerodynamic Noise ABC'!$E$38</definedName>
    <definedName name="D_2_">'Aerodynamic Noise ABC'!$E$13</definedName>
    <definedName name="DELTA_F_L">'Aerodynamic Noise ABC'!$E$44</definedName>
    <definedName name="F_d">'Aerodynamic Noise ABC'!$E$16</definedName>
    <definedName name="F_L">'Aerodynamic Noise ABC'!$E$15</definedName>
    <definedName name="G">'Aerodynamic Noise ABC'!$E$48</definedName>
    <definedName name="G1_">'Aerodynamic Noise ABC'!$H$64</definedName>
    <definedName name="GAMMA">'Gas Sonic Vel Calculator'!$A$14</definedName>
    <definedName name="LpAe1m">'Aerodynamic Noise ABC'!$E$49</definedName>
    <definedName name="M">'Aerodynamic Noise ABC'!$E$9</definedName>
    <definedName name="P_1">'Aerodynamic Noise ABC'!$E$35</definedName>
    <definedName name="P_1_">'Aerodynamic Noise ABC'!$E$7</definedName>
    <definedName name="P_2">'Aerodynamic Noise ABC'!$E$36</definedName>
    <definedName name="P_2_">'Aerodynamic Noise ABC'!$E$8</definedName>
    <definedName name="_xlnm.Print_Area" localSheetId="0">'Aerodynamic Noise ABC'!$A$4:$J$28</definedName>
    <definedName name="ps">'Aerodynamic Noise ABC'!$E$19</definedName>
    <definedName name="rw">'Aerodynamic Noise ABC'!$E$20</definedName>
    <definedName name="SONIC_VELOCITY__m_s">'Gas Sonic Vel Calculator'!$A$17</definedName>
    <definedName name="SPL">'Aerodynamic Noise ABC'!$E$22</definedName>
    <definedName name="TEMP">'Gas Sonic Vel Calculator'!$A$8</definedName>
    <definedName name="Temp._converted_to_K">'Gas Sonic Vel Calculator'!$A$23</definedName>
    <definedName name="TEMP_UNITS">'Gas Sonic Vel Calculator'!$C$5</definedName>
    <definedName name="X">'Aerodynamic Noise ABC'!$E$43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 l="1"/>
  <c r="E38" i="1"/>
  <c r="E45" i="1" s="1"/>
  <c r="A23" i="3"/>
  <c r="A17" i="3" s="1"/>
  <c r="A20" i="3" s="1"/>
  <c r="A7" i="3"/>
  <c r="H44" i="1"/>
  <c r="G44" i="1"/>
  <c r="F44" i="1"/>
  <c r="H38" i="1"/>
  <c r="H45" i="1" s="1"/>
  <c r="G38" i="1"/>
  <c r="G45" i="1" s="1"/>
  <c r="F38" i="1"/>
  <c r="F45" i="1" s="1"/>
  <c r="H37" i="1"/>
  <c r="H48" i="1" s="1"/>
  <c r="G37" i="1"/>
  <c r="G48" i="1" s="1"/>
  <c r="F37" i="1"/>
  <c r="F48" i="1" s="1"/>
  <c r="H36" i="1"/>
  <c r="G36" i="1"/>
  <c r="H35" i="1"/>
  <c r="H46" i="1" s="1"/>
  <c r="G35" i="1"/>
  <c r="G46" i="1" s="1"/>
  <c r="F35" i="1"/>
  <c r="F36" i="1"/>
  <c r="E37" i="1"/>
  <c r="E48" i="1" s="1"/>
  <c r="E36" i="1"/>
  <c r="E35" i="1"/>
  <c r="E46" i="1" s="1"/>
  <c r="C13" i="1"/>
  <c r="C10" i="1"/>
  <c r="B10" i="1"/>
  <c r="C8" i="1"/>
  <c r="E44" i="1"/>
  <c r="F43" i="1" l="1"/>
  <c r="F47" i="1" s="1"/>
  <c r="F46" i="1"/>
  <c r="G43" i="1"/>
  <c r="H43" i="1"/>
  <c r="H47" i="1" s="1"/>
  <c r="H49" i="1" s="1"/>
  <c r="E43" i="1"/>
  <c r="E47" i="1" s="1"/>
  <c r="E49" i="1" s="1"/>
  <c r="F49" i="1" l="1"/>
  <c r="F22" i="1" s="1"/>
  <c r="G47" i="1"/>
  <c r="G49" i="1" s="1"/>
  <c r="G22" i="1" s="1"/>
  <c r="H22" i="1"/>
  <c r="E22" i="1"/>
</calcChain>
</file>

<file path=xl/sharedStrings.xml><?xml version="1.0" encoding="utf-8"?>
<sst xmlns="http://schemas.openxmlformats.org/spreadsheetml/2006/main" count="153" uniqueCount="144">
  <si>
    <t>P_1</t>
  </si>
  <si>
    <t xml:space="preserve">  Inlet pressure</t>
  </si>
  <si>
    <t xml:space="preserve">  Outlet pressure</t>
  </si>
  <si>
    <t>P_2</t>
  </si>
  <si>
    <t>Process Parameters</t>
  </si>
  <si>
    <t>Valve/Pipe Parameters</t>
  </si>
  <si>
    <t>C_v</t>
  </si>
  <si>
    <t>Modifiers</t>
  </si>
  <si>
    <t>F_L</t>
  </si>
  <si>
    <t>rw</t>
  </si>
  <si>
    <t>ps</t>
  </si>
  <si>
    <t>dB(A)</t>
  </si>
  <si>
    <t>SPL</t>
  </si>
  <si>
    <t>X</t>
  </si>
  <si>
    <t>A</t>
  </si>
  <si>
    <t>B</t>
  </si>
  <si>
    <t>dB</t>
  </si>
  <si>
    <t>LpAe1m</t>
  </si>
  <si>
    <t>C_</t>
  </si>
  <si>
    <t>Variable</t>
  </si>
  <si>
    <t>Name</t>
  </si>
  <si>
    <t>D_2</t>
  </si>
  <si>
    <t xml:space="preserve">  Downstream pipe diameter</t>
  </si>
  <si>
    <t>G</t>
  </si>
  <si>
    <t>F_d</t>
  </si>
  <si>
    <t xml:space="preserve">  Valve Style, rw (globe = 3, others = 0)</t>
  </si>
  <si>
    <t>M</t>
  </si>
  <si>
    <t>DELTA F_L</t>
  </si>
  <si>
    <t xml:space="preserve">  Downstream Pipe schedule (40=0, 80=4, 160=8)</t>
  </si>
  <si>
    <t xml:space="preserve">  Molecular mass (Air = 28.97)</t>
  </si>
  <si>
    <t>ci</t>
  </si>
  <si>
    <t>Control Valve Aerodynamic Noise</t>
  </si>
  <si>
    <t>x, Pressure ratio</t>
  </si>
  <si>
    <r>
      <rPr>
        <sz val="14"/>
        <color theme="1"/>
        <rFont val="Symbol"/>
        <family val="1"/>
        <charset val="2"/>
      </rPr>
      <t>D</t>
    </r>
    <r>
      <rPr>
        <sz val="12"/>
        <color theme="1"/>
        <rFont val="Arial"/>
        <family val="2"/>
      </rPr>
      <t>F</t>
    </r>
    <r>
      <rPr>
        <vertAlign val="subscript"/>
        <sz val="12"/>
        <color theme="1"/>
        <rFont val="Arial"/>
        <family val="2"/>
      </rPr>
      <t>L</t>
    </r>
  </si>
  <si>
    <t>C</t>
  </si>
  <si>
    <t>G, correction for gasses other than air</t>
  </si>
  <si>
    <r>
      <t>LpAe1m = A+B+C+</t>
    </r>
    <r>
      <rPr>
        <b/>
        <sz val="12"/>
        <color theme="1"/>
        <rFont val="Symbol"/>
        <family val="1"/>
        <charset val="2"/>
      </rPr>
      <t>D</t>
    </r>
    <r>
      <rPr>
        <b/>
        <sz val="12"/>
        <color theme="1"/>
        <rFont val="Arial"/>
        <family val="2"/>
      </rPr>
      <t>F</t>
    </r>
    <r>
      <rPr>
        <b/>
        <vertAlign val="subscript"/>
        <sz val="12"/>
        <color theme="1"/>
        <rFont val="Arial"/>
        <family val="2"/>
      </rPr>
      <t>L</t>
    </r>
    <r>
      <rPr>
        <b/>
        <sz val="12"/>
        <color theme="1"/>
        <rFont val="Arial"/>
        <family val="2"/>
      </rPr>
      <t>+G-rw-ps</t>
    </r>
  </si>
  <si>
    <t>Worksheet by Jon F. Monsen</t>
  </si>
  <si>
    <t>ABC Method</t>
  </si>
  <si>
    <t>Calculation method by Hans D. Baumann</t>
  </si>
  <si>
    <t>Presssure: 1 = psia  2 = bar  3 = kPa</t>
  </si>
  <si>
    <t>Size:  1 = inch  2 = mm</t>
  </si>
  <si>
    <t xml:space="preserve">  </t>
  </si>
  <si>
    <t>D_2 (Calculation uses inch)</t>
  </si>
  <si>
    <t>ci (Calculation uses ft/sec)</t>
  </si>
  <si>
    <t>P_1_</t>
  </si>
  <si>
    <t>P_2_</t>
  </si>
  <si>
    <t>ci_</t>
  </si>
  <si>
    <t>D_2_</t>
  </si>
  <si>
    <t>P_1(Calculation uses psia)</t>
  </si>
  <si>
    <t>P_2 (Calculation uses psia)</t>
  </si>
  <si>
    <t>FINAL CALCULATIONS</t>
  </si>
  <si>
    <t>USER INTERFACE</t>
  </si>
  <si>
    <t>NO USER INPUT IS REQUIRED IN THIS SECTION</t>
  </si>
  <si>
    <r>
      <t>Calculated SPL (LpAe</t>
    </r>
    <r>
      <rPr>
        <b/>
        <vertAlign val="subscript"/>
        <sz val="14"/>
        <color rgb="FF0033CC"/>
        <rFont val="Arial"/>
        <family val="2"/>
      </rPr>
      <t>1m</t>
    </r>
    <r>
      <rPr>
        <b/>
        <sz val="14"/>
        <color rgb="FF0033CC"/>
        <rFont val="Arial"/>
        <family val="2"/>
      </rPr>
      <t>)</t>
    </r>
  </si>
  <si>
    <t>Variable name</t>
  </si>
  <si>
    <t>User Inputs</t>
  </si>
  <si>
    <t>Case 1</t>
  </si>
  <si>
    <t>Case 2</t>
  </si>
  <si>
    <t>Case 3</t>
  </si>
  <si>
    <t>Case 4</t>
  </si>
  <si>
    <t>Unit</t>
  </si>
  <si>
    <t>Units Selection</t>
  </si>
  <si>
    <t>AMU</t>
  </si>
  <si>
    <t>(This calculated value of noise  is copied to the user interface.)</t>
  </si>
  <si>
    <t>Sonic Velocity:  1 = ft/sec. 2 = m/sec.</t>
  </si>
  <si>
    <t>`</t>
  </si>
  <si>
    <r>
      <t>Initial intermediate calculations</t>
    </r>
    <r>
      <rPr>
        <sz val="11"/>
        <color theme="1"/>
        <rFont val="Arial"/>
        <family val="2"/>
      </rPr>
      <t>:</t>
    </r>
  </si>
  <si>
    <t xml:space="preserve">Pressure ratio, X = (P1 - P2) / P1 </t>
  </si>
  <si>
    <r>
      <t>A = 25 log(D</t>
    </r>
    <r>
      <rPr>
        <vertAlign val="subscript"/>
        <sz val="11"/>
        <color theme="1"/>
        <rFont val="Arial"/>
        <family val="2"/>
      </rPr>
      <t>2</t>
    </r>
    <r>
      <rPr>
        <sz val="11"/>
        <color theme="1"/>
        <rFont val="Arial"/>
        <family val="2"/>
      </rPr>
      <t>) - 10 + 20 log(Cv / D</t>
    </r>
    <r>
      <rPr>
        <vertAlign val="subscript"/>
        <sz val="11"/>
        <color theme="1"/>
        <rFont val="Arial"/>
        <family val="2"/>
      </rPr>
      <t>2</t>
    </r>
    <r>
      <rPr>
        <vertAlign val="superscript"/>
        <sz val="11"/>
        <color theme="1"/>
        <rFont val="Arial"/>
        <family val="2"/>
      </rPr>
      <t>2</t>
    </r>
    <r>
      <rPr>
        <sz val="11"/>
        <color theme="1"/>
        <rFont val="Arial"/>
        <family val="2"/>
      </rPr>
      <t>)</t>
    </r>
  </si>
  <si>
    <r>
      <t>B = 35 log(P</t>
    </r>
    <r>
      <rPr>
        <vertAlign val="subscript"/>
        <sz val="11"/>
        <color theme="1"/>
        <rFont val="Arial"/>
        <family val="2"/>
      </rPr>
      <t>1</t>
    </r>
    <r>
      <rPr>
        <sz val="11"/>
        <color theme="1"/>
        <rFont val="Arial"/>
        <family val="2"/>
      </rPr>
      <t>) - 35</t>
    </r>
  </si>
  <si>
    <t>C = 27 + 30 +30 log(X) + 20 log(Fd)</t>
  </si>
  <si>
    <r>
      <t>D</t>
    </r>
    <r>
      <rPr>
        <sz val="11"/>
        <color theme="1"/>
        <rFont val="Arial"/>
        <family val="2"/>
      </rPr>
      <t>F</t>
    </r>
    <r>
      <rPr>
        <vertAlign val="subscript"/>
        <sz val="11"/>
        <color theme="1"/>
        <rFont val="Arial"/>
        <family val="2"/>
      </rPr>
      <t>L</t>
    </r>
    <r>
      <rPr>
        <sz val="11"/>
        <color theme="1"/>
        <rFont val="Arial"/>
        <family val="2"/>
      </rPr>
      <t>:  if F</t>
    </r>
    <r>
      <rPr>
        <vertAlign val="subscript"/>
        <sz val="11"/>
        <color theme="1"/>
        <rFont val="Arial"/>
        <family val="2"/>
      </rPr>
      <t xml:space="preserve">L </t>
    </r>
    <r>
      <rPr>
        <sz val="11"/>
        <color theme="1"/>
        <rFont val="Arial"/>
        <family val="2"/>
      </rPr>
      <t xml:space="preserve">&lt; 0.7 then </t>
    </r>
    <r>
      <rPr>
        <sz val="12"/>
        <color theme="1"/>
        <rFont val="Symbol"/>
        <family val="1"/>
        <charset val="2"/>
      </rPr>
      <t>D</t>
    </r>
    <r>
      <rPr>
        <sz val="11"/>
        <color theme="1"/>
        <rFont val="Arial"/>
        <family val="2"/>
      </rPr>
      <t>F</t>
    </r>
    <r>
      <rPr>
        <vertAlign val="subscript"/>
        <sz val="11"/>
        <color theme="1"/>
        <rFont val="Arial"/>
        <family val="2"/>
      </rPr>
      <t xml:space="preserve">L </t>
    </r>
    <r>
      <rPr>
        <sz val="11"/>
        <color theme="1"/>
        <rFont val="Arial"/>
        <family val="2"/>
      </rPr>
      <t>= 30 log(0.7 / F</t>
    </r>
    <r>
      <rPr>
        <vertAlign val="subscript"/>
        <sz val="11"/>
        <color theme="1"/>
        <rFont val="Arial"/>
        <family val="2"/>
      </rPr>
      <t>L</t>
    </r>
    <r>
      <rPr>
        <sz val="11"/>
        <color theme="1"/>
        <rFont val="Arial"/>
        <family val="2"/>
      </rPr>
      <t xml:space="preserve">) otherwise, </t>
    </r>
  </si>
  <si>
    <r>
      <t>D</t>
    </r>
    <r>
      <rPr>
        <sz val="11"/>
        <color theme="1"/>
        <rFont val="Arial"/>
        <family val="2"/>
      </rPr>
      <t>F</t>
    </r>
    <r>
      <rPr>
        <vertAlign val="subscript"/>
        <sz val="11"/>
        <color theme="1"/>
        <rFont val="Arial"/>
        <family val="2"/>
      </rPr>
      <t>L</t>
    </r>
    <r>
      <rPr>
        <sz val="11"/>
        <color theme="1"/>
        <rFont val="Arial"/>
        <family val="2"/>
      </rPr>
      <t>=30 log(F</t>
    </r>
    <r>
      <rPr>
        <vertAlign val="subscript"/>
        <sz val="11"/>
        <color theme="1"/>
        <rFont val="Arial"/>
        <family val="2"/>
      </rPr>
      <t xml:space="preserve">L </t>
    </r>
    <r>
      <rPr>
        <sz val="11"/>
        <color theme="1"/>
        <rFont val="Arial"/>
        <family val="2"/>
      </rPr>
      <t>/ 0.7)</t>
    </r>
  </si>
  <si>
    <t>G = 20 log(ci / 1125 ) + 15 log(M / 28.97)</t>
  </si>
  <si>
    <r>
      <t>The final calculation</t>
    </r>
    <r>
      <rPr>
        <sz val="11"/>
        <color theme="1"/>
        <rFont val="Arial"/>
        <family val="2"/>
      </rPr>
      <t xml:space="preserve"> combines the above intermediate calculations to obtain the estimated aerodynamic noise, </t>
    </r>
  </si>
  <si>
    <r>
      <t xml:space="preserve">LpAe1m = A + B + C + </t>
    </r>
    <r>
      <rPr>
        <b/>
        <sz val="12"/>
        <color theme="1"/>
        <rFont val="Symbol"/>
        <family val="1"/>
        <charset val="2"/>
      </rPr>
      <t>D</t>
    </r>
    <r>
      <rPr>
        <b/>
        <sz val="11"/>
        <color theme="1"/>
        <rFont val="Arial"/>
        <family val="2"/>
      </rPr>
      <t>F</t>
    </r>
    <r>
      <rPr>
        <b/>
        <vertAlign val="subscript"/>
        <sz val="11"/>
        <color theme="1"/>
        <rFont val="Arial"/>
        <family val="2"/>
      </rPr>
      <t xml:space="preserve">L </t>
    </r>
    <r>
      <rPr>
        <b/>
        <sz val="11"/>
        <color theme="1"/>
        <rFont val="Arial"/>
        <family val="2"/>
      </rPr>
      <t xml:space="preserve">+ G – rw – ps </t>
    </r>
  </si>
  <si>
    <t>Nomenclature:</t>
  </si>
  <si>
    <t>A: SPL due to valve size and Cv</t>
  </si>
  <si>
    <t>B: SPL due to upstream pressure</t>
  </si>
  <si>
    <t>C: SPL due to pressure ratio and Fd</t>
  </si>
  <si>
    <r>
      <t>D</t>
    </r>
    <r>
      <rPr>
        <sz val="11"/>
        <color theme="1"/>
        <rFont val="Arial"/>
        <family val="2"/>
      </rPr>
      <t>F</t>
    </r>
    <r>
      <rPr>
        <vertAlign val="subscript"/>
        <sz val="11"/>
        <color theme="1"/>
        <rFont val="Arial"/>
        <family val="2"/>
      </rPr>
      <t>L</t>
    </r>
    <r>
      <rPr>
        <sz val="11"/>
        <color theme="1"/>
        <rFont val="Arial"/>
        <family val="2"/>
      </rPr>
      <t>: SPL correction for F</t>
    </r>
    <r>
      <rPr>
        <vertAlign val="subscript"/>
        <sz val="11"/>
        <color theme="1"/>
        <rFont val="Arial"/>
        <family val="2"/>
      </rPr>
      <t>L</t>
    </r>
    <r>
      <rPr>
        <sz val="11"/>
        <color theme="1"/>
        <rFont val="Arial"/>
        <family val="2"/>
      </rPr>
      <t xml:space="preserve"> greater or less than 0.7</t>
    </r>
  </si>
  <si>
    <r>
      <t>F</t>
    </r>
    <r>
      <rPr>
        <vertAlign val="subscript"/>
        <sz val="10"/>
        <color theme="1"/>
        <rFont val="Arial"/>
        <family val="2"/>
      </rPr>
      <t>L</t>
    </r>
    <r>
      <rPr>
        <sz val="10"/>
        <color theme="1"/>
        <rFont val="Arial"/>
        <family val="2"/>
      </rPr>
      <t>: Valve Liquid pressure recovery factor at operating valve travel</t>
    </r>
  </si>
  <si>
    <t>G: Correction for gasses other than air based on sonic velocity and molecular mass of the gas relative to air. G = 0 for air</t>
  </si>
  <si>
    <t>P_1, P_2: pressure upstream and downstream of valve (psia)</t>
  </si>
  <si>
    <r>
      <t>D</t>
    </r>
    <r>
      <rPr>
        <vertAlign val="subscript"/>
        <sz val="11"/>
        <color theme="1"/>
        <rFont val="Arial"/>
        <family val="2"/>
      </rPr>
      <t>2</t>
    </r>
    <r>
      <rPr>
        <sz val="11"/>
        <color theme="1"/>
        <rFont val="Arial"/>
        <family val="2"/>
      </rPr>
      <t>: Pipe size downstream of valve (inch)</t>
    </r>
  </si>
  <si>
    <r>
      <t xml:space="preserve">Cv: Valve </t>
    </r>
    <r>
      <rPr>
        <sz val="10"/>
        <color theme="1"/>
        <rFont val="Arial"/>
        <family val="2"/>
      </rPr>
      <t>flow coefficient at operating valve travel</t>
    </r>
  </si>
  <si>
    <r>
      <t xml:space="preserve">Fd: </t>
    </r>
    <r>
      <rPr>
        <sz val="10"/>
        <color theme="1"/>
        <rFont val="Arial"/>
        <family val="2"/>
      </rPr>
      <t>Valve style modifier at operating valve travel</t>
    </r>
    <r>
      <rPr>
        <sz val="11"/>
        <color theme="1"/>
        <rFont val="Arial"/>
        <family val="2"/>
      </rPr>
      <t xml:space="preserve"> </t>
    </r>
  </si>
  <si>
    <t>ci: Sonic velocity of the gas in feet per second. Air = 1125</t>
  </si>
  <si>
    <t>M: Molecular mass of the gas. Air = 28.97</t>
  </si>
  <si>
    <t>rw: SPL correction for globe valves, rw = 3. For all others rw = 0</t>
  </si>
  <si>
    <t>ps: Correction for downstream pipe schedule. (40=0, 80=4, 160=8)</t>
  </si>
  <si>
    <t>ABC Method for predicting control vavle aerodynamic noise.</t>
  </si>
  <si>
    <t>Excel worksheet by Jon Monsen</t>
  </si>
  <si>
    <t xml:space="preserve">The worksheet includes the capability to easily specify other units that are often used: </t>
  </si>
  <si>
    <t>ci, gas sonic velocity (Calculation uses ft/sec)</t>
  </si>
  <si>
    <t>downstram pipe size (Calculation uses inch)</t>
  </si>
  <si>
    <t>P_1 upstram pressure (Calculation uses psia)</t>
  </si>
  <si>
    <t>P_2 downstream pressure (Calculation uses psia)</t>
  </si>
  <si>
    <t>Gas Sonic Velocity</t>
  </si>
  <si>
    <t>J. Monsen</t>
  </si>
  <si>
    <t>GAS:</t>
  </si>
  <si>
    <t>TAG:</t>
  </si>
  <si>
    <t>Temperature units (F, C or K)</t>
  </si>
  <si>
    <t>F</t>
  </si>
  <si>
    <t>Data input</t>
  </si>
  <si>
    <t>Final result</t>
  </si>
  <si>
    <t>Molecular Mass, M</t>
  </si>
  <si>
    <t xml:space="preserve">Intermediate </t>
  </si>
  <si>
    <t>calculation</t>
  </si>
  <si>
    <t>Spec. Heat Ratio, GAMMA</t>
  </si>
  <si>
    <t>SONIC VELOCITY, m/s</t>
  </si>
  <si>
    <t>SONIC VELOCITY, ft/s</t>
  </si>
  <si>
    <t xml:space="preserve">Temp. converted to K </t>
  </si>
  <si>
    <t xml:space="preserve">This worksheet is distributed at no charge on an as-is basis. The author does not assume any liability for its use.   </t>
  </si>
  <si>
    <t>It is the user’s responsibility to determine its applicability to their application.</t>
  </si>
  <si>
    <t>INSTRUCTIONS</t>
  </si>
  <si>
    <t>Enter the temperature unis you want to use. Valid entries  are F, C or K.</t>
  </si>
  <si>
    <t>Enter the given temperature (in the units you have selected) the molecular mass of the</t>
  </si>
  <si>
    <t>gas and its specific heat ratio.</t>
  </si>
  <si>
    <t>The equation for gas sonic velocitay is:</t>
  </si>
  <si>
    <t>Where c is the speed of sound in the gas, meters per second</t>
  </si>
  <si>
    <r>
      <rPr>
        <sz val="10"/>
        <color theme="1"/>
        <rFont val="Symbol"/>
        <family val="1"/>
        <charset val="2"/>
      </rPr>
      <t>g</t>
    </r>
    <r>
      <rPr>
        <sz val="11"/>
        <color theme="1"/>
        <rFont val="Arial"/>
        <family val="2"/>
      </rPr>
      <t xml:space="preserve"> is the ratio of specific heats of the gas</t>
    </r>
  </si>
  <si>
    <t>T is the temperature in Kelvin</t>
  </si>
  <si>
    <t>M is the molecular mass</t>
  </si>
  <si>
    <t>R is the universal gas constant, 8314</t>
  </si>
  <si>
    <t>The worksheet is protected to prevent accidental changes. If you want to make changes,</t>
  </si>
  <si>
    <t>there is no password. Select REVIEW  then UNPROTECT SHEET, but you do so at</t>
  </si>
  <si>
    <t>your own risk.</t>
  </si>
  <si>
    <t>Air</t>
  </si>
  <si>
    <t>WORKSHEET UNITS CONVERTED TO UNITS REQUIRED BY THE CALCULATIONS. ALL OTHER VARIABLES ARE INDEPENDENT OF UNITS</t>
  </si>
  <si>
    <r>
      <t xml:space="preserve">  Pressure recovery factor, F</t>
    </r>
    <r>
      <rPr>
        <vertAlign val="subscript"/>
        <sz val="12"/>
        <rFont val="Arial"/>
        <family val="2"/>
      </rPr>
      <t>L</t>
    </r>
  </si>
  <si>
    <r>
      <t xml:space="preserve">  Valve capacity, C</t>
    </r>
    <r>
      <rPr>
        <vertAlign val="subscript"/>
        <sz val="12"/>
        <rFont val="Arial"/>
        <family val="2"/>
      </rPr>
      <t>V</t>
    </r>
  </si>
  <si>
    <r>
      <t xml:space="preserve">  Valve style modifier, F</t>
    </r>
    <r>
      <rPr>
        <vertAlign val="subscript"/>
        <sz val="12"/>
        <rFont val="Arial"/>
        <family val="2"/>
      </rPr>
      <t>d</t>
    </r>
  </si>
  <si>
    <t xml:space="preserve"> Pressure: bar, kPa(a), Velocity, m/sec, Pipe size, mm</t>
  </si>
  <si>
    <t xml:space="preserve">Simple Excel worksheet predicts control valve aerodynamic noise. </t>
  </si>
  <si>
    <r>
      <t>Recently an article was published that presented an easily constructed Excel sheet that estimates hydrodynamic noise in control valves</t>
    </r>
    <r>
      <rPr>
        <vertAlign val="superscript"/>
        <sz val="12"/>
        <color theme="1"/>
        <rFont val="Arial"/>
        <family val="2"/>
      </rPr>
      <t>1</t>
    </r>
    <r>
      <rPr>
        <sz val="12"/>
        <color theme="1"/>
        <rFont val="Arial"/>
        <family val="2"/>
      </rPr>
      <t>. A number of people have asked me if there is something similar for aerodynamic noise. It turns out that Hans D. Baumann, an internationally recognized control valve expert who has spent many years investigating control valve noise mechanisms and theory and who developed the method in Reference 1 also has a similar simplified method for estimating control valve aerodynamic noise. He has kindly given me permission to use it as a basis for an Excel worksheet which is the subject of this paper.</t>
    </r>
  </si>
  <si>
    <t>Reliable valve noise test data is difficult to find unless you are a valve manufacturer and then you tend not to share it. I did find 10 noise tests that I believe to be reliable and using this simplified noise prediction method the average absolute error was 3.3 dB(A). Control valve noise prediction methods normally claim accuracy of plus or minus 5 dB(A).</t>
  </si>
  <si>
    <r>
      <t>Reference 1.</t>
    </r>
    <r>
      <rPr>
        <sz val="12"/>
        <color rgb="FF000000"/>
        <rFont val="Arial"/>
        <family val="2"/>
      </rPr>
      <t xml:space="preserve"> Excel-worksheet predicts control valve hydrodynamic noise, Valve World, July 2020 pp 44 – 45</t>
    </r>
  </si>
  <si>
    <t xml:space="preserve">Reference 1 can be viewed at: </t>
  </si>
  <si>
    <t>https://www.valin.com/resources/articles/excel-worksheet-predicts-control-valve-hydrodynamic-noise</t>
  </si>
  <si>
    <r>
      <t xml:space="preserve">The calculation method is shown on the </t>
    </r>
    <r>
      <rPr>
        <b/>
        <sz val="12"/>
        <color theme="1"/>
        <rFont val="Arial"/>
        <family val="2"/>
      </rPr>
      <t>Calculation Method</t>
    </r>
    <r>
      <rPr>
        <sz val="12"/>
        <color theme="1"/>
        <rFont val="Arial"/>
        <family val="2"/>
      </rPr>
      <t xml:space="preserve"> tab  The method presented here is simple enough to be implemented with a pocket calculator or one of the many calculator apps available for cell phones, but using the Excel sheet in this file, the calculations can be done even more quickly. We refer to this as the ABC method, partly because the term “ABC” is often recognized as something that is simple, and also because the main noise calculation is divided into three parts, named A, B and C.    </t>
    </r>
  </si>
  <si>
    <t>The worksheet requires the sonic velocity of the gas as a process parameter. If the sonic velocity is not known, I have included a tab that has a worksheet that can calculate the sonic velocity of a gas.</t>
  </si>
  <si>
    <t>IEC 60534-8-3 is nearly universally recognized as the preferred method for predicting control valve aerodynamic noise and most control valve manufacturers include it in their control valve sizing and selection applications. For the user who wants to make quick noise predictions or who wants to construct their own valve sizing application, programming the IEC noise standard can be a daunting task. For example, I have constructed an Excel sheet that exactly implements the IEC standard. That Excel sheet consists of 261 lines of formulas, a task that many would not have the time or enthusiasm for. Thus the justification for a simplified noise prediction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</si>
</sst>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Arial"/>
      <family val="2"/>
    </font>
    <font>
      <b/>
      <sz val="11"/>
      <color theme="1"/>
      <name val="Arial"/>
      <family val="2"/>
    </font>
    <font>
      <sz val="11"/>
      <name val="Arial"/>
      <family val="2"/>
    </font>
    <font>
      <b/>
      <sz val="11"/>
      <name val="Arial"/>
      <family val="2"/>
    </font>
    <font>
      <b/>
      <sz val="12"/>
      <color theme="1"/>
      <name val="Arial"/>
      <family val="2"/>
    </font>
    <font>
      <b/>
      <sz val="12"/>
      <color theme="1"/>
      <name val="Symbol"/>
      <family val="1"/>
      <charset val="2"/>
    </font>
    <font>
      <b/>
      <vertAlign val="subscript"/>
      <sz val="12"/>
      <color theme="1"/>
      <name val="Arial"/>
      <family val="2"/>
    </font>
    <font>
      <b/>
      <sz val="12"/>
      <name val="Arial"/>
      <family val="2"/>
    </font>
    <font>
      <sz val="12"/>
      <color theme="1"/>
      <name val="Arial"/>
      <family val="2"/>
    </font>
    <font>
      <vertAlign val="subscript"/>
      <sz val="12"/>
      <color theme="1"/>
      <name val="Arial"/>
      <family val="2"/>
    </font>
    <font>
      <sz val="12"/>
      <color theme="1"/>
      <name val="Arial"/>
      <family val="1"/>
      <charset val="2"/>
    </font>
    <font>
      <sz val="11"/>
      <color rgb="FFFF0000"/>
      <name val="Arial"/>
      <family val="2"/>
    </font>
    <font>
      <sz val="11"/>
      <color rgb="FF249024"/>
      <name val="Arial"/>
      <family val="2"/>
    </font>
    <font>
      <b/>
      <sz val="12"/>
      <color rgb="FF249024"/>
      <name val="Arial"/>
      <family val="2"/>
    </font>
    <font>
      <b/>
      <sz val="12"/>
      <color rgb="FF0033CC"/>
      <name val="Arial"/>
      <family val="2"/>
    </font>
    <font>
      <sz val="10"/>
      <color theme="1"/>
      <name val="Arial"/>
      <family val="2"/>
    </font>
    <font>
      <sz val="14"/>
      <color theme="1"/>
      <name val="Symbol"/>
      <family val="1"/>
      <charset val="2"/>
    </font>
    <font>
      <sz val="14"/>
      <color theme="1"/>
      <name val="Arial"/>
      <family val="2"/>
    </font>
    <font>
      <b/>
      <sz val="14"/>
      <name val="Arial"/>
      <family val="2"/>
    </font>
    <font>
      <sz val="11"/>
      <color rgb="FF29A329"/>
      <name val="Arial"/>
      <family val="2"/>
    </font>
    <font>
      <b/>
      <sz val="18"/>
      <name val="Arial"/>
      <family val="2"/>
    </font>
    <font>
      <sz val="18"/>
      <color theme="1"/>
      <name val="Arial"/>
      <family val="2"/>
    </font>
    <font>
      <b/>
      <sz val="14"/>
      <color rgb="FFFF0000"/>
      <name val="Arial"/>
      <family val="2"/>
    </font>
    <font>
      <b/>
      <sz val="14"/>
      <color rgb="FF0033CC"/>
      <name val="Arial"/>
      <family val="2"/>
    </font>
    <font>
      <b/>
      <vertAlign val="subscript"/>
      <sz val="14"/>
      <color rgb="FF0033CC"/>
      <name val="Arial"/>
      <family val="2"/>
    </font>
    <font>
      <b/>
      <sz val="14"/>
      <color theme="1"/>
      <name val="Arial"/>
      <family val="2"/>
    </font>
    <font>
      <sz val="11"/>
      <color theme="1"/>
      <name val="Arial"/>
      <family val="2"/>
    </font>
    <font>
      <sz val="11"/>
      <color rgb="FF006100"/>
      <name val="Calibri"/>
      <family val="2"/>
      <scheme val="minor"/>
    </font>
    <font>
      <u/>
      <sz val="11"/>
      <color theme="10"/>
      <name val="Arial"/>
      <family val="2"/>
    </font>
    <font>
      <sz val="12"/>
      <color theme="1"/>
      <name val="Symbol"/>
      <family val="1"/>
      <charset val="2"/>
    </font>
    <font>
      <sz val="12"/>
      <name val="Arial"/>
      <family val="2"/>
    </font>
    <font>
      <b/>
      <sz val="14"/>
      <color theme="0"/>
      <name val="Arial"/>
      <family val="2"/>
    </font>
    <font>
      <vertAlign val="subscript"/>
      <sz val="11"/>
      <color theme="1"/>
      <name val="Arial"/>
      <family val="2"/>
    </font>
    <font>
      <vertAlign val="superscript"/>
      <sz val="11"/>
      <color theme="1"/>
      <name val="Arial"/>
      <family val="2"/>
    </font>
    <font>
      <b/>
      <vertAlign val="subscript"/>
      <sz val="11"/>
      <color theme="1"/>
      <name val="Arial"/>
      <family val="2"/>
    </font>
    <font>
      <sz val="11"/>
      <color theme="1"/>
      <name val="Symbol"/>
      <family val="1"/>
      <charset val="2"/>
    </font>
    <font>
      <vertAlign val="subscript"/>
      <sz val="10"/>
      <color theme="1"/>
      <name val="Arial"/>
      <family val="2"/>
    </font>
    <font>
      <b/>
      <sz val="16"/>
      <color theme="1"/>
      <name val="Arial"/>
      <family val="2"/>
    </font>
    <font>
      <b/>
      <sz val="12"/>
      <color rgb="FF0070C0"/>
      <name val="Arial"/>
      <family val="2"/>
    </font>
    <font>
      <sz val="9"/>
      <color theme="1"/>
      <name val="Arial"/>
      <family val="2"/>
    </font>
    <font>
      <sz val="8"/>
      <color theme="1"/>
      <name val="Arial"/>
      <family val="2"/>
    </font>
    <font>
      <b/>
      <sz val="10"/>
      <color theme="1"/>
      <name val="Arial"/>
      <family val="2"/>
    </font>
    <font>
      <sz val="10"/>
      <name val="Arial"/>
      <family val="2"/>
    </font>
    <font>
      <sz val="10"/>
      <color rgb="FF006100"/>
      <name val="Arial"/>
      <family val="2"/>
    </font>
    <font>
      <b/>
      <sz val="11.5"/>
      <color rgb="FFFF0000"/>
      <name val="Calibri"/>
      <family val="2"/>
    </font>
    <font>
      <sz val="10"/>
      <color theme="1"/>
      <name val="Arial"/>
      <family val="1"/>
      <charset val="2"/>
    </font>
    <font>
      <sz val="10"/>
      <color theme="1"/>
      <name val="Symbol"/>
      <family val="1"/>
      <charset val="2"/>
    </font>
    <font>
      <vertAlign val="subscript"/>
      <sz val="12"/>
      <name val="Arial"/>
      <family val="2"/>
    </font>
    <font>
      <vertAlign val="superscript"/>
      <sz val="12"/>
      <color theme="1"/>
      <name val="Arial"/>
      <family val="2"/>
    </font>
    <font>
      <sz val="12"/>
      <color rgb="FF000000"/>
      <name val="Arial"/>
      <family val="2"/>
    </font>
  </fonts>
  <fills count="9">
    <fill>
      <patternFill patternType="none"/>
    </fill>
    <fill>
      <patternFill patternType="gray125"/>
    </fill>
    <fill>
      <patternFill patternType="solid">
        <fgColor theme="2"/>
        <bgColor indexed="64"/>
      </patternFill>
    </fill>
    <fill>
      <patternFill patternType="solid">
        <fgColor rgb="FF305496"/>
        <bgColor indexed="64"/>
      </patternFill>
    </fill>
    <fill>
      <patternFill patternType="solid">
        <fgColor rgb="FFC6EFCE"/>
      </patternFill>
    </fill>
    <fill>
      <patternFill patternType="solid">
        <fgColor rgb="FFFFFFCC"/>
      </patternFill>
    </fill>
    <fill>
      <patternFill patternType="solid">
        <fgColor theme="3" tint="0.59996337778862885"/>
        <bgColor indexed="64"/>
      </patternFill>
    </fill>
    <fill>
      <patternFill patternType="solid">
        <fgColor rgb="FFFFCC00"/>
        <bgColor indexed="64"/>
      </patternFill>
    </fill>
    <fill>
      <patternFill patternType="solid">
        <fgColor rgb="FFFFFF00"/>
        <bgColor indexed="64"/>
      </patternFill>
    </fill>
  </fills>
  <borders count="26">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rgb="FFB2B2B2"/>
      </left>
      <right style="thin">
        <color rgb="FFB2B2B2"/>
      </right>
      <top style="thin">
        <color rgb="FFB2B2B2"/>
      </top>
      <bottom style="thin">
        <color rgb="FFB2B2B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auto="1"/>
      </left>
      <right style="thick">
        <color auto="1"/>
      </right>
      <top/>
      <bottom/>
      <diagonal/>
    </border>
    <border>
      <left style="thick">
        <color auto="1"/>
      </left>
      <right style="thin">
        <color auto="1"/>
      </right>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ck">
        <color auto="1"/>
      </left>
      <right/>
      <top/>
      <bottom style="medium">
        <color auto="1"/>
      </bottom>
      <diagonal/>
    </border>
  </borders>
  <cellStyleXfs count="5">
    <xf numFmtId="0" fontId="0" fillId="0" borderId="0"/>
    <xf numFmtId="0" fontId="27" fillId="4" borderId="0" applyNumberFormat="0" applyBorder="0" applyAlignment="0" applyProtection="0"/>
    <xf numFmtId="0" fontId="26" fillId="5" borderId="6" applyNumberFormat="0" applyFont="0" applyAlignment="0" applyProtection="0"/>
    <xf numFmtId="0" fontId="28" fillId="0" borderId="0" applyNumberFormat="0" applyFill="0" applyBorder="0" applyAlignment="0" applyProtection="0"/>
    <xf numFmtId="0" fontId="30" fillId="0" borderId="0"/>
  </cellStyleXfs>
  <cellXfs count="158">
    <xf numFmtId="0" fontId="0" fillId="0" borderId="0" xfId="0"/>
    <xf numFmtId="0" fontId="1" fillId="0" borderId="0" xfId="0" applyFont="1"/>
    <xf numFmtId="0" fontId="2" fillId="0" borderId="0" xfId="0" applyFont="1"/>
    <xf numFmtId="0" fontId="2" fillId="0" borderId="0" xfId="0" quotePrefix="1" applyFont="1"/>
    <xf numFmtId="2" fontId="2" fillId="0" borderId="0" xfId="0" applyNumberFormat="1" applyFont="1"/>
    <xf numFmtId="2" fontId="0" fillId="0" borderId="0" xfId="0" quotePrefix="1" applyNumberFormat="1"/>
    <xf numFmtId="2" fontId="2" fillId="0" borderId="0" xfId="0" quotePrefix="1" applyNumberFormat="1" applyFont="1"/>
    <xf numFmtId="0" fontId="0" fillId="0" borderId="0" xfId="0" quotePrefix="1"/>
    <xf numFmtId="2" fontId="0" fillId="0" borderId="0" xfId="0" applyNumberFormat="1"/>
    <xf numFmtId="2" fontId="7" fillId="0" borderId="0" xfId="0" applyNumberFormat="1" applyFont="1"/>
    <xf numFmtId="164" fontId="3" fillId="0" borderId="0" xfId="0" applyNumberFormat="1" applyFont="1"/>
    <xf numFmtId="0" fontId="0" fillId="0" borderId="0" xfId="0" applyAlignment="1">
      <alignment vertical="center"/>
    </xf>
    <xf numFmtId="0" fontId="4" fillId="0" borderId="0" xfId="0" applyFont="1" applyAlignment="1">
      <alignment vertical="center"/>
    </xf>
    <xf numFmtId="0" fontId="12" fillId="0" borderId="0" xfId="0" applyFont="1" applyAlignment="1">
      <alignment horizontal="left" vertical="center"/>
    </xf>
    <xf numFmtId="2" fontId="12" fillId="0" borderId="0" xfId="0" quotePrefix="1" applyNumberFormat="1" applyFont="1" applyAlignment="1">
      <alignment horizontal="left" vertical="center"/>
    </xf>
    <xf numFmtId="2" fontId="13" fillId="0" borderId="0" xfId="0" applyNumberFormat="1" applyFont="1" applyAlignment="1">
      <alignment horizontal="left" vertical="center"/>
    </xf>
    <xf numFmtId="2" fontId="14" fillId="0" borderId="0" xfId="0" applyNumberFormat="1" applyFont="1" applyAlignment="1">
      <alignment horizontal="left"/>
    </xf>
    <xf numFmtId="0" fontId="15" fillId="0" borderId="0" xfId="0" applyFont="1" applyAlignment="1">
      <alignment vertical="center"/>
    </xf>
    <xf numFmtId="2" fontId="11" fillId="0" borderId="0" xfId="0" applyNumberFormat="1" applyFont="1" applyAlignment="1">
      <alignment horizontal="left" vertical="center"/>
    </xf>
    <xf numFmtId="0" fontId="11" fillId="0" borderId="0" xfId="0" applyFont="1"/>
    <xf numFmtId="0" fontId="19"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vertical="center"/>
    </xf>
    <xf numFmtId="0" fontId="18" fillId="0" borderId="0" xfId="0" applyFont="1" applyAlignment="1">
      <alignment vertical="center"/>
    </xf>
    <xf numFmtId="0" fontId="11" fillId="0" borderId="0" xfId="0" applyFont="1" applyAlignment="1">
      <alignment vertical="center"/>
    </xf>
    <xf numFmtId="0" fontId="17" fillId="0" borderId="0" xfId="0" applyFont="1" applyAlignment="1">
      <alignment vertical="center"/>
    </xf>
    <xf numFmtId="0" fontId="0" fillId="0" borderId="2" xfId="0" applyBorder="1"/>
    <xf numFmtId="0" fontId="2" fillId="0" borderId="2" xfId="0" applyFont="1" applyBorder="1"/>
    <xf numFmtId="164" fontId="3" fillId="0" borderId="2" xfId="0" applyNumberFormat="1" applyFont="1" applyBorder="1"/>
    <xf numFmtId="2" fontId="12" fillId="0" borderId="4" xfId="0" quotePrefix="1" applyNumberFormat="1" applyFont="1" applyBorder="1" applyAlignment="1">
      <alignment horizontal="left" vertical="center"/>
    </xf>
    <xf numFmtId="0" fontId="0" fillId="0" borderId="4" xfId="0" applyBorder="1"/>
    <xf numFmtId="0" fontId="0" fillId="0" borderId="5" xfId="0" applyBorder="1"/>
    <xf numFmtId="0" fontId="0" fillId="2" borderId="0" xfId="0" applyFill="1" applyAlignment="1">
      <alignment vertical="center"/>
    </xf>
    <xf numFmtId="0" fontId="25" fillId="2" borderId="0" xfId="0" applyFont="1" applyFill="1" applyAlignment="1">
      <alignment vertical="center"/>
    </xf>
    <xf numFmtId="0" fontId="0" fillId="2" borderId="1" xfId="0" applyFill="1" applyBorder="1" applyAlignment="1">
      <alignment vertical="center"/>
    </xf>
    <xf numFmtId="0" fontId="0" fillId="2" borderId="8" xfId="0" applyFill="1" applyBorder="1" applyAlignment="1">
      <alignment vertical="center"/>
    </xf>
    <xf numFmtId="0" fontId="0" fillId="0" borderId="9" xfId="0" applyBorder="1"/>
    <xf numFmtId="0" fontId="1" fillId="0" borderId="2" xfId="0" applyFont="1" applyBorder="1"/>
    <xf numFmtId="0" fontId="11" fillId="0" borderId="4" xfId="0" applyFont="1" applyBorder="1"/>
    <xf numFmtId="0" fontId="18" fillId="2" borderId="3" xfId="0" applyFont="1" applyFill="1" applyBorder="1" applyAlignment="1">
      <alignment horizontal="center"/>
    </xf>
    <xf numFmtId="0" fontId="18" fillId="2" borderId="4" xfId="0" applyFont="1" applyFill="1" applyBorder="1" applyAlignment="1">
      <alignment horizontal="center"/>
    </xf>
    <xf numFmtId="0" fontId="18" fillId="2" borderId="5" xfId="0" applyFont="1" applyFill="1" applyBorder="1" applyAlignment="1">
      <alignment horizont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0" fillId="0" borderId="1" xfId="0" applyBorder="1"/>
    <xf numFmtId="0" fontId="31" fillId="3" borderId="1" xfId="0" applyFont="1" applyFill="1" applyBorder="1" applyAlignment="1">
      <alignment vertical="center"/>
    </xf>
    <xf numFmtId="0" fontId="31" fillId="3" borderId="1" xfId="0" applyFont="1" applyFill="1" applyBorder="1" applyAlignment="1">
      <alignment horizontal="left" vertical="center"/>
    </xf>
    <xf numFmtId="0" fontId="0" fillId="2" borderId="1" xfId="0" applyFill="1" applyBorder="1"/>
    <xf numFmtId="0" fontId="0" fillId="2" borderId="0" xfId="0" applyFill="1"/>
    <xf numFmtId="0" fontId="1" fillId="0" borderId="0" xfId="0" applyFont="1" applyAlignment="1">
      <alignment vertical="center"/>
    </xf>
    <xf numFmtId="0" fontId="26" fillId="0" borderId="0" xfId="0" applyFont="1" applyAlignment="1">
      <alignment vertical="center"/>
    </xf>
    <xf numFmtId="0" fontId="29" fillId="0" borderId="0" xfId="0" applyFont="1" applyAlignment="1">
      <alignment vertical="center"/>
    </xf>
    <xf numFmtId="0" fontId="35" fillId="0" borderId="0" xfId="0" applyFont="1" applyAlignment="1">
      <alignment vertical="center"/>
    </xf>
    <xf numFmtId="0" fontId="37" fillId="0" borderId="0" xfId="0" applyFont="1"/>
    <xf numFmtId="0" fontId="0" fillId="0" borderId="0" xfId="0" applyAlignment="1">
      <alignment horizontal="left"/>
    </xf>
    <xf numFmtId="0" fontId="40" fillId="0" borderId="0" xfId="0" applyFont="1"/>
    <xf numFmtId="4" fontId="7" fillId="0" borderId="0" xfId="0" applyNumberFormat="1" applyFont="1" applyAlignment="1">
      <alignment horizontal="right"/>
    </xf>
    <xf numFmtId="0" fontId="7" fillId="0" borderId="0" xfId="4" applyFont="1" applyAlignment="1">
      <alignment horizontal="right" vertical="center"/>
    </xf>
    <xf numFmtId="0" fontId="0" fillId="6" borderId="12" xfId="0" applyFill="1" applyBorder="1" applyAlignment="1" applyProtection="1">
      <alignment horizontal="center" vertical="center"/>
      <protection locked="0"/>
    </xf>
    <xf numFmtId="0" fontId="28" fillId="0" borderId="0" xfId="3" applyBorder="1" applyAlignment="1" applyProtection="1">
      <alignment horizontal="left" wrapText="1"/>
    </xf>
    <xf numFmtId="0" fontId="42" fillId="0" borderId="0" xfId="0" applyFont="1" applyAlignment="1">
      <alignment vertical="center"/>
    </xf>
    <xf numFmtId="4" fontId="3" fillId="0" borderId="13" xfId="0" applyNumberFormat="1" applyFont="1" applyBorder="1" applyAlignment="1">
      <alignment vertical="center"/>
    </xf>
    <xf numFmtId="0" fontId="1" fillId="0" borderId="0" xfId="0" applyFont="1" applyAlignment="1">
      <alignment horizontal="center"/>
    </xf>
    <xf numFmtId="0" fontId="0" fillId="6" borderId="14" xfId="0" applyFill="1" applyBorder="1" applyAlignment="1" applyProtection="1">
      <alignment horizontal="left"/>
      <protection locked="0"/>
    </xf>
    <xf numFmtId="0" fontId="0" fillId="0" borderId="0" xfId="0" applyAlignment="1" applyProtection="1">
      <alignment horizontal="right"/>
      <protection locked="0"/>
    </xf>
    <xf numFmtId="0" fontId="43" fillId="6" borderId="0" xfId="1" applyNumberFormat="1" applyFont="1" applyFill="1" applyAlignment="1">
      <alignment vertical="center"/>
    </xf>
    <xf numFmtId="0" fontId="42" fillId="7" borderId="0" xfId="2" applyNumberFormat="1" applyFont="1" applyFill="1" applyBorder="1" applyAlignment="1">
      <alignment vertical="center"/>
    </xf>
    <xf numFmtId="0" fontId="1" fillId="0" borderId="15" xfId="0" applyFont="1" applyBorder="1"/>
    <xf numFmtId="0" fontId="42" fillId="8" borderId="0" xfId="0" applyFont="1" applyFill="1" applyAlignment="1">
      <alignment vertical="center"/>
    </xf>
    <xf numFmtId="0" fontId="0" fillId="6" borderId="16" xfId="0" applyFill="1" applyBorder="1" applyAlignment="1" applyProtection="1">
      <alignment horizontal="left"/>
      <protection locked="0"/>
    </xf>
    <xf numFmtId="0" fontId="0" fillId="8" borderId="0" xfId="0" applyFill="1"/>
    <xf numFmtId="0" fontId="41" fillId="0" borderId="15" xfId="0" applyFont="1" applyBorder="1"/>
    <xf numFmtId="1" fontId="41" fillId="7" borderId="16" xfId="0" applyNumberFormat="1" applyFont="1" applyFill="1" applyBorder="1" applyAlignment="1">
      <alignment horizontal="left" vertical="center"/>
    </xf>
    <xf numFmtId="0" fontId="0" fillId="0" borderId="0" xfId="0" applyAlignment="1">
      <alignment wrapText="1"/>
    </xf>
    <xf numFmtId="0" fontId="0" fillId="0" borderId="15" xfId="0" applyBorder="1" applyAlignment="1">
      <alignment vertical="center"/>
    </xf>
    <xf numFmtId="2" fontId="0" fillId="8" borderId="12" xfId="0" applyNumberFormat="1" applyFill="1" applyBorder="1" applyAlignment="1">
      <alignment horizontal="left" vertical="center"/>
    </xf>
    <xf numFmtId="0" fontId="44" fillId="0" borderId="0" xfId="0" applyFont="1" applyAlignment="1">
      <alignment vertical="center"/>
    </xf>
    <xf numFmtId="0" fontId="0" fillId="0" borderId="0" xfId="0" applyAlignment="1">
      <alignment vertical="top" wrapText="1"/>
    </xf>
    <xf numFmtId="0" fontId="41" fillId="0" borderId="0" xfId="0" applyFont="1"/>
    <xf numFmtId="0" fontId="0" fillId="0" borderId="0" xfId="0" applyAlignment="1">
      <alignment vertical="top"/>
    </xf>
    <xf numFmtId="0" fontId="45" fillId="0" borderId="0" xfId="0" applyFont="1" applyAlignment="1">
      <alignment vertical="top"/>
    </xf>
    <xf numFmtId="0" fontId="0" fillId="3" borderId="0" xfId="0" applyFill="1"/>
    <xf numFmtId="0" fontId="11" fillId="3" borderId="0" xfId="0" applyFont="1" applyFill="1"/>
    <xf numFmtId="0" fontId="0" fillId="3" borderId="0" xfId="0" applyFill="1" applyAlignment="1">
      <alignment vertical="center"/>
    </xf>
    <xf numFmtId="0" fontId="11" fillId="3" borderId="0" xfId="0" applyFont="1" applyFill="1" applyAlignment="1">
      <alignment vertical="center"/>
    </xf>
    <xf numFmtId="0" fontId="12" fillId="3" borderId="0" xfId="0" applyFont="1" applyFill="1" applyAlignment="1">
      <alignment horizontal="left" vertical="center"/>
    </xf>
    <xf numFmtId="0" fontId="0" fillId="0" borderId="12" xfId="0" applyBorder="1" applyAlignment="1">
      <alignment horizontal="right"/>
    </xf>
    <xf numFmtId="0" fontId="0" fillId="0" borderId="12" xfId="0" applyBorder="1"/>
    <xf numFmtId="164" fontId="2" fillId="0" borderId="12" xfId="0" quotePrefix="1" applyNumberFormat="1" applyFont="1" applyBorder="1" applyAlignment="1">
      <alignment horizontal="left"/>
    </xf>
    <xf numFmtId="0" fontId="2" fillId="0" borderId="12" xfId="0" applyFont="1" applyBorder="1" applyAlignment="1">
      <alignment horizontal="right" vertical="center"/>
    </xf>
    <xf numFmtId="0" fontId="8" fillId="0" borderId="12" xfId="0" applyFont="1" applyBorder="1" applyAlignment="1">
      <alignment horizontal="right" vertical="center" indent="1"/>
    </xf>
    <xf numFmtId="0" fontId="0" fillId="0" borderId="12" xfId="0" applyBorder="1" applyAlignment="1">
      <alignment vertical="center"/>
    </xf>
    <xf numFmtId="2" fontId="2" fillId="0" borderId="12" xfId="0" quotePrefix="1" applyNumberFormat="1" applyFont="1" applyBorder="1" applyAlignment="1">
      <alignment horizontal="left" vertical="center"/>
    </xf>
    <xf numFmtId="0" fontId="10" fillId="0" borderId="12" xfId="0" applyFont="1" applyBorder="1" applyAlignment="1">
      <alignment horizontal="right" vertical="center" indent="1"/>
    </xf>
    <xf numFmtId="0" fontId="12" fillId="0" borderId="12" xfId="0" applyFont="1" applyBorder="1" applyAlignment="1">
      <alignment vertical="center"/>
    </xf>
    <xf numFmtId="2" fontId="2" fillId="0" borderId="12" xfId="0" applyNumberFormat="1" applyFont="1" applyBorder="1" applyAlignment="1">
      <alignment horizontal="left" vertical="center"/>
    </xf>
    <xf numFmtId="0" fontId="4" fillId="0" borderId="12" xfId="0" applyFont="1" applyBorder="1" applyAlignment="1">
      <alignment horizontal="right" vertical="center" indent="1"/>
    </xf>
    <xf numFmtId="0" fontId="4" fillId="0" borderId="12" xfId="0" applyFont="1" applyBorder="1" applyAlignment="1">
      <alignment vertical="center"/>
    </xf>
    <xf numFmtId="2" fontId="7" fillId="0" borderId="12" xfId="0" applyNumberFormat="1" applyFont="1" applyBorder="1" applyAlignment="1">
      <alignment horizontal="left" vertical="center"/>
    </xf>
    <xf numFmtId="0" fontId="0" fillId="0" borderId="17" xfId="0" applyBorder="1"/>
    <xf numFmtId="0" fontId="0" fillId="2" borderId="21" xfId="0" applyFill="1" applyBorder="1" applyAlignment="1">
      <alignment vertical="center"/>
    </xf>
    <xf numFmtId="0" fontId="2" fillId="2" borderId="21" xfId="0" applyFont="1" applyFill="1" applyBorder="1" applyAlignment="1">
      <alignment horizontal="left" vertical="center"/>
    </xf>
    <xf numFmtId="0" fontId="30" fillId="2" borderId="22" xfId="0" applyFont="1" applyFill="1" applyBorder="1" applyAlignment="1">
      <alignment vertical="center"/>
    </xf>
    <xf numFmtId="0" fontId="30" fillId="2" borderId="22" xfId="0" applyFont="1" applyFill="1" applyBorder="1" applyAlignment="1">
      <alignment horizontal="left" vertical="center"/>
    </xf>
    <xf numFmtId="0" fontId="0" fillId="2" borderId="18" xfId="0" applyFill="1" applyBorder="1"/>
    <xf numFmtId="0" fontId="0" fillId="2" borderId="19" xfId="0" applyFill="1" applyBorder="1"/>
    <xf numFmtId="0" fontId="23" fillId="2" borderId="22" xfId="0" applyFont="1" applyFill="1" applyBorder="1" applyAlignment="1">
      <alignment vertical="center"/>
    </xf>
    <xf numFmtId="0" fontId="23" fillId="2" borderId="21" xfId="0" applyFont="1" applyFill="1" applyBorder="1" applyAlignment="1">
      <alignment vertical="center"/>
    </xf>
    <xf numFmtId="0" fontId="8" fillId="0" borderId="21" xfId="0" applyFont="1" applyBorder="1" applyAlignment="1">
      <alignment horizontal="right" vertical="center"/>
    </xf>
    <xf numFmtId="0" fontId="30" fillId="0" borderId="21" xfId="0" applyFont="1" applyBorder="1" applyAlignment="1">
      <alignment horizontal="right" vertical="center" wrapText="1"/>
    </xf>
    <xf numFmtId="0" fontId="30" fillId="0" borderId="21" xfId="0" applyFont="1" applyBorder="1" applyAlignment="1">
      <alignment horizontal="right" vertical="center"/>
    </xf>
    <xf numFmtId="0" fontId="8" fillId="0" borderId="0" xfId="0" applyFont="1" applyAlignment="1">
      <alignment horizontal="right" vertical="center"/>
    </xf>
    <xf numFmtId="0" fontId="30" fillId="0" borderId="0" xfId="0" applyFont="1" applyAlignment="1">
      <alignment horizontal="right" vertical="center" wrapText="1"/>
    </xf>
    <xf numFmtId="0" fontId="8" fillId="3" borderId="0" xfId="0" applyFont="1" applyFill="1" applyAlignment="1">
      <alignment horizontal="right" vertical="center"/>
    </xf>
    <xf numFmtId="0" fontId="30" fillId="3" borderId="0" xfId="0" applyFont="1" applyFill="1" applyAlignment="1">
      <alignment horizontal="right" vertical="center"/>
    </xf>
    <xf numFmtId="0" fontId="30" fillId="0" borderId="0" xfId="0" applyFont="1" applyAlignment="1">
      <alignment horizontal="right" vertical="center"/>
    </xf>
    <xf numFmtId="0" fontId="8" fillId="0" borderId="0" xfId="0" applyFont="1" applyAlignment="1">
      <alignment horizontal="right"/>
    </xf>
    <xf numFmtId="0" fontId="30" fillId="3" borderId="0" xfId="0" applyFont="1" applyFill="1" applyAlignment="1">
      <alignment horizontal="right"/>
    </xf>
    <xf numFmtId="0" fontId="30" fillId="0" borderId="21" xfId="0" applyFont="1" applyBorder="1" applyAlignment="1">
      <alignment horizontal="right"/>
    </xf>
    <xf numFmtId="0" fontId="0" fillId="0" borderId="19" xfId="0" applyBorder="1" applyAlignment="1">
      <alignment horizontal="right"/>
    </xf>
    <xf numFmtId="0" fontId="11" fillId="0" borderId="0" xfId="0" applyFont="1" applyAlignment="1">
      <alignment horizontal="right"/>
    </xf>
    <xf numFmtId="0" fontId="0" fillId="0" borderId="0" xfId="0" applyAlignment="1">
      <alignment horizontal="right"/>
    </xf>
    <xf numFmtId="0" fontId="0" fillId="0" borderId="20" xfId="0" applyBorder="1" applyAlignment="1">
      <alignment horizontal="right"/>
    </xf>
    <xf numFmtId="164" fontId="23" fillId="0" borderId="21" xfId="0" applyNumberFormat="1" applyFont="1" applyBorder="1" applyAlignment="1">
      <alignment horizontal="right" vertical="center"/>
    </xf>
    <xf numFmtId="0" fontId="8" fillId="2" borderId="22" xfId="0" applyFont="1" applyFill="1" applyBorder="1" applyAlignment="1">
      <alignment vertical="center"/>
    </xf>
    <xf numFmtId="0" fontId="0" fillId="0" borderId="21" xfId="0" applyBorder="1" applyAlignment="1">
      <alignment vertical="center"/>
    </xf>
    <xf numFmtId="0" fontId="8" fillId="2" borderId="23" xfId="0" applyFont="1" applyFill="1" applyBorder="1" applyAlignment="1">
      <alignment vertical="center"/>
    </xf>
    <xf numFmtId="0" fontId="0" fillId="0" borderId="24" xfId="0" applyBorder="1" applyAlignment="1">
      <alignment vertical="center"/>
    </xf>
    <xf numFmtId="0" fontId="0" fillId="2" borderId="7" xfId="0" applyFill="1" applyBorder="1"/>
    <xf numFmtId="0" fontId="31" fillId="3" borderId="25" xfId="0" applyFont="1" applyFill="1" applyBorder="1" applyAlignment="1">
      <alignment vertical="center"/>
    </xf>
    <xf numFmtId="0" fontId="4" fillId="0" borderId="0" xfId="0" applyFont="1" applyAlignment="1">
      <alignment vertical="center" wrapText="1"/>
    </xf>
    <xf numFmtId="0" fontId="8" fillId="0" borderId="0" xfId="0" applyFont="1" applyAlignment="1">
      <alignment vertical="center" wrapText="1"/>
    </xf>
    <xf numFmtId="0" fontId="49" fillId="0" borderId="0" xfId="0" applyFont="1" applyAlignment="1">
      <alignment vertical="center" wrapText="1"/>
    </xf>
    <xf numFmtId="0" fontId="28" fillId="0" borderId="0" xfId="3" applyAlignment="1">
      <alignment wrapText="1"/>
    </xf>
    <xf numFmtId="0" fontId="0" fillId="0" borderId="0" xfId="0" applyAlignment="1">
      <alignment horizontal="left" vertical="top" wrapText="1"/>
    </xf>
    <xf numFmtId="0" fontId="28" fillId="0" borderId="0" xfId="3"/>
    <xf numFmtId="0" fontId="8" fillId="0" borderId="0" xfId="0" applyFont="1" applyAlignment="1">
      <alignment horizontal="center" vertical="center"/>
    </xf>
    <xf numFmtId="0" fontId="0" fillId="0" borderId="0" xfId="0" applyAlignment="1">
      <alignment horizontal="center"/>
    </xf>
    <xf numFmtId="0" fontId="22" fillId="0" borderId="0" xfId="0" applyFont="1" applyAlignment="1">
      <alignment horizontal="center" vertical="center"/>
    </xf>
    <xf numFmtId="0" fontId="0" fillId="0" borderId="0" xfId="0"/>
    <xf numFmtId="0" fontId="18" fillId="2" borderId="7" xfId="0" applyFont="1" applyFill="1" applyBorder="1" applyAlignment="1">
      <alignment horizontal="center" vertical="center"/>
    </xf>
    <xf numFmtId="0" fontId="17" fillId="2" borderId="8" xfId="0" applyFont="1" applyFill="1" applyBorder="1" applyAlignment="1">
      <alignment horizontal="center"/>
    </xf>
    <xf numFmtId="0" fontId="17" fillId="2" borderId="9" xfId="0" applyFont="1" applyFill="1" applyBorder="1" applyAlignment="1">
      <alignment horizontal="center"/>
    </xf>
    <xf numFmtId="0" fontId="20" fillId="0" borderId="7" xfId="0" applyFont="1" applyBorder="1" applyAlignment="1">
      <alignment horizontal="center" vertical="center"/>
    </xf>
    <xf numFmtId="0" fontId="21" fillId="0" borderId="8" xfId="0" applyFont="1" applyBorder="1" applyAlignment="1">
      <alignment horizontal="center" vertical="center"/>
    </xf>
    <xf numFmtId="0" fontId="0" fillId="0" borderId="8" xfId="0" applyBorder="1"/>
    <xf numFmtId="0" fontId="0" fillId="0" borderId="9" xfId="0" applyBorder="1"/>
    <xf numFmtId="0" fontId="1" fillId="0" borderId="0" xfId="0" applyFont="1" applyAlignment="1">
      <alignment horizontal="left" vertical="center"/>
    </xf>
    <xf numFmtId="0" fontId="1" fillId="0" borderId="0" xfId="0" applyFont="1" applyAlignment="1">
      <alignment horizontal="left"/>
    </xf>
    <xf numFmtId="0" fontId="1" fillId="0" borderId="0" xfId="0" applyFont="1"/>
    <xf numFmtId="4" fontId="38" fillId="0" borderId="0" xfId="0" applyNumberFormat="1"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right" vertical="center"/>
    </xf>
    <xf numFmtId="0" fontId="1" fillId="0" borderId="10"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41" fillId="0" borderId="10" xfId="0" applyFont="1" applyBorder="1" applyAlignment="1">
      <alignment vertical="center"/>
    </xf>
    <xf numFmtId="0" fontId="41" fillId="0" borderId="11" xfId="0" applyFont="1" applyBorder="1" applyAlignment="1">
      <alignment vertical="center"/>
    </xf>
  </cellXfs>
  <cellStyles count="5">
    <cellStyle name="Good" xfId="1" builtinId="26"/>
    <cellStyle name="Hyperlink" xfId="3" builtinId="8"/>
    <cellStyle name="Normal" xfId="0" builtinId="0"/>
    <cellStyle name="Normal_Compress Nelson F" xfId="4" xr:uid="{6F9D9CE7-57BD-44F1-93E0-0C21846464FC}"/>
    <cellStyle name="Note" xfId="2" builtinId="10"/>
  </cellStyles>
  <dxfs count="0"/>
  <tableStyles count="0" defaultTableStyle="TableStyleMedium2" defaultPivotStyle="PivotStyleLight16"/>
  <colors>
    <mruColors>
      <color rgb="FF305496"/>
      <color rgb="FF0033CC"/>
      <color rgb="FF249024"/>
      <color rgb="FF29A329"/>
      <color rgb="FF97DCFF"/>
      <color rgb="FF66CCFF"/>
      <color rgb="FF2CAE2C"/>
      <color rgb="FF33CC33"/>
      <color rgb="FFB4C6E7"/>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1412875</xdr:colOff>
      <xdr:row>39</xdr:row>
      <xdr:rowOff>34833</xdr:rowOff>
    </xdr:to>
    <xdr:pic>
      <xdr:nvPicPr>
        <xdr:cNvPr id="2" name="Picture 1">
          <a:extLst>
            <a:ext uri="{FF2B5EF4-FFF2-40B4-BE49-F238E27FC236}">
              <a16:creationId xmlns:a16="http://schemas.microsoft.com/office/drawing/2014/main" id="{E39A6E48-C7E7-4031-9DF1-6EAE68D1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2071"/>
          <a:ext cx="1412875" cy="573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valin.com/resources/articles/excel-worksheet-predicts-control-valve-hydrodynamic-nois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0374-4C25-4314-8A5B-216BFA9C65E2}">
  <dimension ref="A1:N64"/>
  <sheetViews>
    <sheetView showGridLines="0" tabSelected="1" zoomScale="70" zoomScaleNormal="70" workbookViewId="0">
      <selection activeCell="B1" sqref="B1"/>
    </sheetView>
  </sheetViews>
  <sheetFormatPr defaultRowHeight="14.15"/>
  <cols>
    <col min="1" max="1" width="0.85546875" customWidth="1"/>
    <col min="2" max="2" width="46.140625" customWidth="1"/>
    <col min="3" max="3" width="9.640625" customWidth="1"/>
    <col min="4" max="4" width="10.2109375" customWidth="1"/>
    <col min="5" max="5" width="10.2109375" style="19" customWidth="1"/>
    <col min="6" max="8" width="10.2109375" customWidth="1"/>
    <col min="9" max="9" width="0.7109375" customWidth="1"/>
  </cols>
  <sheetData>
    <row r="1" spans="1:14" ht="20.05" customHeight="1">
      <c r="B1" s="23" t="s">
        <v>31</v>
      </c>
      <c r="C1" s="17" t="s">
        <v>39</v>
      </c>
      <c r="D1" s="11"/>
      <c r="E1" s="24"/>
    </row>
    <row r="2" spans="1:14" ht="20.05" customHeight="1" thickBot="1">
      <c r="B2" s="25" t="s">
        <v>38</v>
      </c>
      <c r="C2" s="17" t="s">
        <v>37</v>
      </c>
      <c r="D2" s="11"/>
      <c r="E2" s="24"/>
    </row>
    <row r="3" spans="1:14" ht="20.05" customHeight="1" thickTop="1" thickBot="1">
      <c r="B3" s="143" t="s">
        <v>52</v>
      </c>
      <c r="C3" s="144"/>
      <c r="D3" s="144"/>
      <c r="E3" s="144"/>
      <c r="F3" s="145"/>
      <c r="G3" s="145"/>
      <c r="H3" s="146"/>
      <c r="I3" s="36"/>
    </row>
    <row r="4" spans="1:14" ht="20.05" customHeight="1" thickTop="1">
      <c r="B4" s="128"/>
      <c r="C4" s="35"/>
      <c r="D4" s="42" t="s">
        <v>19</v>
      </c>
      <c r="E4" s="140" t="s">
        <v>56</v>
      </c>
      <c r="F4" s="141"/>
      <c r="G4" s="141"/>
      <c r="H4" s="142"/>
      <c r="I4" s="36"/>
      <c r="J4" s="44"/>
    </row>
    <row r="5" spans="1:14" ht="20.05" customHeight="1" thickBot="1">
      <c r="A5" s="26"/>
      <c r="B5" s="47"/>
      <c r="C5" s="33" t="s">
        <v>61</v>
      </c>
      <c r="D5" s="43" t="s">
        <v>20</v>
      </c>
      <c r="E5" s="39" t="s">
        <v>57</v>
      </c>
      <c r="F5" s="40" t="s">
        <v>58</v>
      </c>
      <c r="G5" s="40" t="s">
        <v>59</v>
      </c>
      <c r="H5" s="41" t="s">
        <v>60</v>
      </c>
      <c r="I5" s="99"/>
      <c r="J5" s="1"/>
      <c r="K5" s="1"/>
      <c r="L5" s="1"/>
      <c r="M5" s="1"/>
      <c r="N5" s="1"/>
    </row>
    <row r="6" spans="1:14" ht="20.05" customHeight="1" thickTop="1" thickBot="1">
      <c r="A6" s="26"/>
      <c r="B6" s="129" t="s">
        <v>4</v>
      </c>
      <c r="C6" s="81"/>
      <c r="D6" s="81"/>
      <c r="E6" s="82"/>
      <c r="F6" s="81"/>
      <c r="G6" s="81"/>
      <c r="H6" s="81"/>
      <c r="I6" s="37"/>
    </row>
    <row r="7" spans="1:14" ht="20.05" customHeight="1" thickBot="1">
      <c r="B7" s="102" t="s">
        <v>1</v>
      </c>
      <c r="C7" s="100" t="str">
        <f>IF(C25=1,"psia",IF(C25=2,"bar(a)",IF(C25=3,"kPa(a)","Undfined")))</f>
        <v>psia</v>
      </c>
      <c r="D7" s="108" t="s">
        <v>45</v>
      </c>
      <c r="E7" s="109">
        <v>116</v>
      </c>
      <c r="F7" s="109">
        <v>116</v>
      </c>
      <c r="G7" s="109">
        <v>116</v>
      </c>
      <c r="H7" s="109">
        <v>116</v>
      </c>
      <c r="I7" s="26"/>
    </row>
    <row r="8" spans="1:14" ht="20.05" customHeight="1" thickBot="1">
      <c r="B8" s="102" t="s">
        <v>2</v>
      </c>
      <c r="C8" s="100" t="str">
        <f>IF(C25=1,"psia",IF(C25=2,"bar(a)",IF(C25=3,"kPa(a)","Undfined")))</f>
        <v>psia</v>
      </c>
      <c r="D8" s="108" t="s">
        <v>46</v>
      </c>
      <c r="E8" s="109">
        <v>58</v>
      </c>
      <c r="F8" s="109">
        <v>58</v>
      </c>
      <c r="G8" s="109">
        <v>58</v>
      </c>
      <c r="H8" s="109">
        <v>58</v>
      </c>
      <c r="I8" s="26"/>
    </row>
    <row r="9" spans="1:14" ht="20.05" customHeight="1" thickBot="1">
      <c r="B9" s="102" t="s">
        <v>29</v>
      </c>
      <c r="C9" s="100" t="s">
        <v>63</v>
      </c>
      <c r="D9" s="108" t="s">
        <v>26</v>
      </c>
      <c r="E9" s="110">
        <v>28.97</v>
      </c>
      <c r="F9" s="110">
        <v>28.97</v>
      </c>
      <c r="G9" s="110">
        <v>28.97</v>
      </c>
      <c r="H9" s="110">
        <v>28.97</v>
      </c>
      <c r="I9" s="26"/>
    </row>
    <row r="10" spans="1:14" ht="20.05" customHeight="1" thickBot="1">
      <c r="B10" s="103" t="str">
        <f>IF(C26=1,"  Sonic velocity of the gas (air = 1126 ft/sec)",IF(C26=2," Sonic velocity of the gas (air = 343 m/sec)","Undefined"))</f>
        <v xml:space="preserve">  Sonic velocity of the gas (air = 1126 ft/sec)</v>
      </c>
      <c r="C10" s="101" t="str">
        <f>IF(C26=1,"ft/sec",IF(C26=2,"m/sec","Undefined"))</f>
        <v>ft/sec</v>
      </c>
      <c r="D10" s="108" t="s">
        <v>47</v>
      </c>
      <c r="E10" s="110">
        <v>1126</v>
      </c>
      <c r="F10" s="110">
        <v>1126</v>
      </c>
      <c r="G10" s="110">
        <v>1126</v>
      </c>
      <c r="H10" s="110">
        <v>1126</v>
      </c>
      <c r="I10" s="26"/>
    </row>
    <row r="11" spans="1:14" ht="20.05" customHeight="1">
      <c r="B11" s="34"/>
      <c r="C11" s="32"/>
      <c r="D11" s="111"/>
      <c r="E11" s="112"/>
      <c r="F11" s="112"/>
      <c r="G11" s="112"/>
      <c r="H11" s="112"/>
      <c r="I11" s="26"/>
    </row>
    <row r="12" spans="1:14" ht="20.05" customHeight="1" thickBot="1">
      <c r="B12" s="45" t="s">
        <v>5</v>
      </c>
      <c r="C12" s="83"/>
      <c r="D12" s="113"/>
      <c r="E12" s="114"/>
      <c r="F12" s="114"/>
      <c r="G12" s="114"/>
      <c r="H12" s="114"/>
      <c r="I12" s="26"/>
    </row>
    <row r="13" spans="1:14" ht="20.05" customHeight="1" thickBot="1">
      <c r="B13" s="102" t="s">
        <v>22</v>
      </c>
      <c r="C13" s="100" t="str">
        <f>IF(C27=1,"inch",IF(C27=2,"mm","Undefined"))</f>
        <v>inch</v>
      </c>
      <c r="D13" s="108" t="s">
        <v>48</v>
      </c>
      <c r="E13" s="109">
        <v>2</v>
      </c>
      <c r="F13" s="109">
        <v>2</v>
      </c>
      <c r="G13" s="109">
        <v>2</v>
      </c>
      <c r="H13" s="109">
        <v>2</v>
      </c>
      <c r="I13" s="26"/>
    </row>
    <row r="14" spans="1:14" ht="20.05" customHeight="1" thickBot="1">
      <c r="B14" s="102" t="s">
        <v>132</v>
      </c>
      <c r="C14" s="100"/>
      <c r="D14" s="108" t="s">
        <v>6</v>
      </c>
      <c r="E14" s="109">
        <v>54.5</v>
      </c>
      <c r="F14" s="109">
        <v>54.5</v>
      </c>
      <c r="G14" s="109">
        <v>54.5</v>
      </c>
      <c r="H14" s="109">
        <v>54.5</v>
      </c>
      <c r="I14" s="26"/>
    </row>
    <row r="15" spans="1:14" ht="20.05" customHeight="1" thickBot="1">
      <c r="B15" s="102" t="s">
        <v>131</v>
      </c>
      <c r="C15" s="100"/>
      <c r="D15" s="108" t="s">
        <v>8</v>
      </c>
      <c r="E15" s="109">
        <v>0.82</v>
      </c>
      <c r="F15" s="109">
        <v>0.82</v>
      </c>
      <c r="G15" s="109">
        <v>0.82</v>
      </c>
      <c r="H15" s="109">
        <v>0.82</v>
      </c>
      <c r="I15" s="26"/>
    </row>
    <row r="16" spans="1:14" ht="20.05" customHeight="1" thickBot="1">
      <c r="B16" s="102" t="s">
        <v>133</v>
      </c>
      <c r="C16" s="100"/>
      <c r="D16" s="108" t="s">
        <v>24</v>
      </c>
      <c r="E16" s="109">
        <v>0.25</v>
      </c>
      <c r="F16" s="109">
        <v>0.25</v>
      </c>
      <c r="G16" s="109">
        <v>0.25</v>
      </c>
      <c r="H16" s="109">
        <v>0.25</v>
      </c>
      <c r="I16" s="26"/>
      <c r="J16" s="2"/>
      <c r="K16" s="2"/>
      <c r="L16" s="2"/>
      <c r="M16" s="2"/>
      <c r="N16" s="2"/>
    </row>
    <row r="17" spans="2:14" ht="20.05" customHeight="1">
      <c r="B17" s="34"/>
      <c r="C17" s="32"/>
      <c r="D17" s="111"/>
      <c r="E17" s="115"/>
      <c r="F17" s="116"/>
      <c r="G17" s="116"/>
      <c r="H17" s="116"/>
      <c r="I17" s="27"/>
      <c r="J17" s="2"/>
      <c r="K17" s="2"/>
      <c r="L17" s="2"/>
      <c r="M17" s="2"/>
      <c r="N17" s="2"/>
    </row>
    <row r="18" spans="2:14" ht="20.05" customHeight="1" thickBot="1">
      <c r="B18" s="45" t="s">
        <v>7</v>
      </c>
      <c r="C18" s="83"/>
      <c r="D18" s="113"/>
      <c r="E18" s="114"/>
      <c r="F18" s="117"/>
      <c r="G18" s="117"/>
      <c r="H18" s="117"/>
      <c r="I18" s="27"/>
    </row>
    <row r="19" spans="2:14" ht="20.05" customHeight="1" thickBot="1">
      <c r="B19" s="102" t="s">
        <v>28</v>
      </c>
      <c r="C19" s="100" t="s">
        <v>16</v>
      </c>
      <c r="D19" s="108" t="s">
        <v>10</v>
      </c>
      <c r="E19" s="110">
        <v>0</v>
      </c>
      <c r="F19" s="110">
        <v>0</v>
      </c>
      <c r="G19" s="110">
        <v>0</v>
      </c>
      <c r="H19" s="118">
        <v>0</v>
      </c>
      <c r="I19" s="26"/>
      <c r="J19" s="2"/>
      <c r="K19" s="2"/>
      <c r="L19" s="2"/>
      <c r="M19" s="2"/>
      <c r="N19" s="2"/>
    </row>
    <row r="20" spans="2:14" ht="20.05" customHeight="1" thickBot="1">
      <c r="B20" s="102" t="s">
        <v>25</v>
      </c>
      <c r="C20" s="100" t="s">
        <v>16</v>
      </c>
      <c r="D20" s="108" t="s">
        <v>9</v>
      </c>
      <c r="E20" s="110">
        <v>3</v>
      </c>
      <c r="F20" s="110">
        <v>3</v>
      </c>
      <c r="G20" s="110">
        <v>3</v>
      </c>
      <c r="H20" s="110">
        <v>3</v>
      </c>
      <c r="I20" s="27"/>
      <c r="J20" s="2"/>
      <c r="K20" s="2"/>
      <c r="L20" s="2"/>
      <c r="M20" s="2"/>
      <c r="N20" s="2"/>
    </row>
    <row r="21" spans="2:14" ht="20.05" customHeight="1" thickBot="1">
      <c r="B21" s="104"/>
      <c r="C21" s="105"/>
      <c r="D21" s="119"/>
      <c r="E21" s="120"/>
      <c r="F21" s="121"/>
      <c r="G21" s="121"/>
      <c r="H21" s="122"/>
      <c r="I21" s="27"/>
    </row>
    <row r="22" spans="2:14" ht="20.05" customHeight="1" thickBot="1">
      <c r="B22" s="106" t="s">
        <v>54</v>
      </c>
      <c r="C22" s="107" t="s">
        <v>11</v>
      </c>
      <c r="D22" s="110" t="s">
        <v>12</v>
      </c>
      <c r="E22" s="123">
        <f>IFERROR(LpAe1m,"")</f>
        <v>92.457884408120378</v>
      </c>
      <c r="F22" s="123">
        <f>IFERROR(F49,"")</f>
        <v>92.457884408120378</v>
      </c>
      <c r="G22" s="123">
        <f>IFERROR(G49,"")</f>
        <v>92.457884408120378</v>
      </c>
      <c r="H22" s="123">
        <f>IFERROR(H49,"")</f>
        <v>92.457884408120378</v>
      </c>
      <c r="I22" s="26"/>
    </row>
    <row r="23" spans="2:14" ht="20.05" customHeight="1">
      <c r="B23" s="47"/>
      <c r="C23" s="48"/>
      <c r="D23" s="11"/>
      <c r="E23" s="24"/>
      <c r="F23" s="13"/>
      <c r="I23" s="26"/>
    </row>
    <row r="24" spans="2:14" ht="20.05" customHeight="1" thickBot="1">
      <c r="B24" s="46" t="s">
        <v>62</v>
      </c>
      <c r="C24" s="83"/>
      <c r="D24" s="83"/>
      <c r="E24" s="84"/>
      <c r="F24" s="85"/>
      <c r="G24" s="81"/>
      <c r="H24" s="81"/>
      <c r="I24" s="26"/>
      <c r="J24" s="10"/>
      <c r="K24" s="10"/>
      <c r="L24" s="10"/>
      <c r="M24" s="10"/>
      <c r="N24" s="10"/>
    </row>
    <row r="25" spans="2:14" ht="20.05" customHeight="1" thickBot="1">
      <c r="B25" s="124" t="s">
        <v>40</v>
      </c>
      <c r="C25" s="125">
        <v>1</v>
      </c>
      <c r="D25" s="11"/>
      <c r="E25" s="24" t="s">
        <v>42</v>
      </c>
      <c r="F25" s="13"/>
      <c r="G25" s="10"/>
      <c r="H25" s="10"/>
      <c r="I25" s="28"/>
    </row>
    <row r="26" spans="2:14" ht="20.05" customHeight="1" thickBot="1">
      <c r="B26" s="102" t="s">
        <v>65</v>
      </c>
      <c r="C26" s="125">
        <v>1</v>
      </c>
      <c r="D26" s="11"/>
      <c r="E26" s="24"/>
      <c r="F26" s="14"/>
      <c r="I26" s="26"/>
    </row>
    <row r="27" spans="2:14" ht="20.05" customHeight="1" thickBot="1">
      <c r="B27" s="126" t="s">
        <v>41</v>
      </c>
      <c r="C27" s="127">
        <v>1</v>
      </c>
      <c r="D27" s="30"/>
      <c r="E27" s="38"/>
      <c r="F27" s="29"/>
      <c r="G27" s="30"/>
      <c r="H27" s="30"/>
      <c r="I27" s="31"/>
    </row>
    <row r="28" spans="2:14" ht="20.05" customHeight="1" thickTop="1">
      <c r="F28" s="14"/>
      <c r="G28" s="5"/>
      <c r="M28" s="6"/>
      <c r="N28" s="6"/>
    </row>
    <row r="29" spans="2:14" ht="20.05" customHeight="1">
      <c r="F29" s="18"/>
      <c r="G29" s="2"/>
      <c r="M29" s="2"/>
      <c r="N29" s="2"/>
    </row>
    <row r="30" spans="2:14" ht="20.05" customHeight="1">
      <c r="F30" s="14"/>
      <c r="G30" s="7"/>
      <c r="H30" s="5"/>
      <c r="I30" s="5"/>
      <c r="J30" s="5"/>
      <c r="K30" s="5"/>
      <c r="L30" s="5"/>
      <c r="M30" s="5"/>
      <c r="N30" s="5"/>
    </row>
    <row r="31" spans="2:14" ht="20.05" customHeight="1">
      <c r="F31" s="15"/>
      <c r="G31" s="5"/>
      <c r="H31" s="2"/>
      <c r="I31" s="2"/>
      <c r="J31" s="2"/>
      <c r="K31" s="2"/>
      <c r="L31" s="2"/>
      <c r="M31" s="2"/>
      <c r="N31" s="2"/>
    </row>
    <row r="32" spans="2:14" ht="20.05" customHeight="1">
      <c r="B32" s="138" t="s">
        <v>53</v>
      </c>
      <c r="C32" s="138"/>
      <c r="D32" s="138"/>
      <c r="E32" s="138"/>
      <c r="F32" s="139"/>
      <c r="G32" s="139"/>
      <c r="H32" s="139"/>
      <c r="I32" s="7"/>
      <c r="J32" s="7"/>
      <c r="K32" s="7"/>
      <c r="L32" s="7"/>
      <c r="M32" s="7"/>
      <c r="N32" s="7"/>
    </row>
    <row r="33" spans="2:14" ht="20.05" customHeight="1">
      <c r="B33" s="147" t="s">
        <v>130</v>
      </c>
      <c r="C33" s="148"/>
      <c r="D33" s="148"/>
      <c r="E33" s="148"/>
      <c r="F33" s="148"/>
      <c r="G33" s="148"/>
      <c r="H33" s="148"/>
      <c r="I33" s="149"/>
      <c r="J33" s="149"/>
      <c r="K33" s="149"/>
      <c r="L33" s="5"/>
      <c r="M33" s="5"/>
      <c r="N33" s="5"/>
    </row>
    <row r="34" spans="2:14" ht="20.05" customHeight="1">
      <c r="B34" s="12"/>
      <c r="C34" s="11"/>
      <c r="D34" s="22" t="s">
        <v>55</v>
      </c>
      <c r="E34" s="20"/>
      <c r="F34" s="16"/>
      <c r="G34" s="6"/>
      <c r="H34" s="5"/>
      <c r="I34" s="5"/>
      <c r="J34" s="5"/>
      <c r="K34" s="5"/>
      <c r="L34" s="5"/>
      <c r="M34" s="5"/>
      <c r="N34" s="5"/>
    </row>
    <row r="35" spans="2:14" ht="20.05" customHeight="1">
      <c r="B35" s="86" t="s">
        <v>49</v>
      </c>
      <c r="C35" s="87"/>
      <c r="D35" s="87" t="s">
        <v>0</v>
      </c>
      <c r="E35" s="88">
        <f>IF($C25=1,P_1_*1,IF($C25=2,P_1_*14.5,IF($C25=3,P_1_*0.145,"Undefined")))</f>
        <v>116</v>
      </c>
      <c r="F35" s="88">
        <f>IF($C25=1,F7*1,IF($C25=2,F7*14.5,IF($C25=3,F7*0.145,"Undefined")))</f>
        <v>116</v>
      </c>
      <c r="G35" s="88">
        <f>IF($C25=1,G7*1,IF($C25=2,G7*14.5,IF($C25=3,G7*0.145,"Undefined")))</f>
        <v>116</v>
      </c>
      <c r="H35" s="88">
        <f>IF($C25=1,H7*1,IF($C25=2,H7*14.5,IF($C25=3,H7*0.145,"Undefined")))</f>
        <v>116</v>
      </c>
      <c r="I35" s="4"/>
      <c r="J35" s="4"/>
      <c r="K35" s="4"/>
      <c r="L35" s="4"/>
      <c r="M35" s="4"/>
      <c r="N35" s="4"/>
    </row>
    <row r="36" spans="2:14">
      <c r="B36" s="86" t="s">
        <v>50</v>
      </c>
      <c r="C36" s="87"/>
      <c r="D36" s="87" t="s">
        <v>3</v>
      </c>
      <c r="E36" s="88">
        <f>IF($C25=1,P_2_*1,IF($C25=2,P_2_*14.5,IF($C25=3,P_2_*0.145,"Undefined")))</f>
        <v>58</v>
      </c>
      <c r="F36" s="88">
        <f>IF($C25=1,F8*1,IF($C25=2,F8*14.5,IF($C25=3,F8*0.145,"Undefined")))</f>
        <v>58</v>
      </c>
      <c r="G36" s="88">
        <f>IF($C25=1,G8*1,IF($C25=2,G8*14.5,IF($C25=3,G8*0.145,"Undefined")))</f>
        <v>58</v>
      </c>
      <c r="H36" s="88">
        <f>IF($C25=1,H8*1,IF($C25=2,H8*14.5,IF($C25=3,H8*0.145,"Undefined")))</f>
        <v>58</v>
      </c>
      <c r="I36" s="6"/>
      <c r="J36" s="6"/>
      <c r="K36" s="6"/>
      <c r="L36" s="6"/>
      <c r="M36" s="6"/>
      <c r="N36" s="6"/>
    </row>
    <row r="37" spans="2:14">
      <c r="B37" s="89" t="s">
        <v>44</v>
      </c>
      <c r="C37" s="87"/>
      <c r="D37" s="87" t="s">
        <v>30</v>
      </c>
      <c r="E37" s="88">
        <f>IF($C26=1,ci_*1,IF($C26=2,ci_*3.2808,"Undefined"))</f>
        <v>1126</v>
      </c>
      <c r="F37" s="88">
        <f>IF($C26=1,F10*1,IF($C26=2,F10*3.2808,"Undefined"))</f>
        <v>1126</v>
      </c>
      <c r="G37" s="88">
        <f>IF($C26=1,G10*1,IF($C26=2,G10*3.2808,"Undefined"))</f>
        <v>1126</v>
      </c>
      <c r="H37" s="88">
        <f>IF($C26=1,H10*1,IF($C26=2,H10*3.2808,"Undefined"))</f>
        <v>1126</v>
      </c>
      <c r="I37" s="5"/>
      <c r="J37" s="5"/>
      <c r="K37" s="5"/>
      <c r="L37" s="5"/>
      <c r="M37" s="5"/>
      <c r="N37" s="5"/>
    </row>
    <row r="38" spans="2:14" ht="15.45">
      <c r="B38" s="86" t="s">
        <v>43</v>
      </c>
      <c r="C38" s="87"/>
      <c r="D38" s="87" t="s">
        <v>21</v>
      </c>
      <c r="E38" s="88">
        <f>IF($C27=1,D_2_*1,IF($C27=2,D_2_*0.03937,"Undefined"))</f>
        <v>2</v>
      </c>
      <c r="F38" s="88">
        <f>IF($C27=1,F13*1,IF($C27=2,F13*0.03937,"Undefined"))</f>
        <v>2</v>
      </c>
      <c r="G38" s="88">
        <f>IF($C27=1,G13*1,IF($C27=2,G13*0.03937,"Undefined"))</f>
        <v>2</v>
      </c>
      <c r="H38" s="88">
        <f>IF($C27=1,H13*1,IF($C27=2,H13*0.03937,"Undefined"))</f>
        <v>2</v>
      </c>
      <c r="I38" s="9"/>
      <c r="J38" s="9"/>
      <c r="K38" s="9"/>
      <c r="L38" s="9"/>
      <c r="M38" s="9"/>
      <c r="N38" s="9"/>
    </row>
    <row r="39" spans="2:14">
      <c r="E39" s="2"/>
      <c r="F39" s="2"/>
      <c r="G39" s="2"/>
      <c r="H39" s="2"/>
      <c r="I39" s="3"/>
      <c r="J39" s="3"/>
      <c r="K39" s="3"/>
      <c r="L39" s="3"/>
      <c r="M39" s="3"/>
      <c r="N39" s="3"/>
    </row>
    <row r="40" spans="2:14">
      <c r="E40" s="2"/>
      <c r="F40" s="2"/>
      <c r="G40" s="2" t="s">
        <v>66</v>
      </c>
      <c r="H40" s="2"/>
      <c r="I40" s="4"/>
      <c r="J40" s="4"/>
      <c r="K40" s="4"/>
      <c r="L40" s="4"/>
      <c r="M40" s="4"/>
      <c r="N40" s="4"/>
    </row>
    <row r="41" spans="2:14">
      <c r="E41" s="2"/>
      <c r="F41" s="2"/>
      <c r="G41" s="2"/>
      <c r="H41" s="2"/>
    </row>
    <row r="42" spans="2:14" ht="15.45">
      <c r="B42" s="12" t="s">
        <v>51</v>
      </c>
      <c r="C42" s="11"/>
      <c r="D42" s="11"/>
      <c r="E42" s="21"/>
      <c r="F42" s="21"/>
      <c r="G42" s="21"/>
      <c r="H42" s="21"/>
    </row>
    <row r="43" spans="2:14" ht="15">
      <c r="B43" s="90" t="s">
        <v>32</v>
      </c>
      <c r="C43" s="91"/>
      <c r="D43" s="91" t="s">
        <v>13</v>
      </c>
      <c r="E43" s="92">
        <f>(P_1-P_2)/P_1</f>
        <v>0.5</v>
      </c>
      <c r="F43" s="92">
        <f>(F35-F36)/F35</f>
        <v>0.5</v>
      </c>
      <c r="G43" s="92">
        <f>(G35-G36)/G35</f>
        <v>0.5</v>
      </c>
      <c r="H43" s="92">
        <f>(H35-H36)/H35</f>
        <v>0.5</v>
      </c>
    </row>
    <row r="44" spans="2:14" ht="17.600000000000001">
      <c r="B44" s="93" t="s">
        <v>33</v>
      </c>
      <c r="C44" s="91"/>
      <c r="D44" s="91" t="s">
        <v>27</v>
      </c>
      <c r="E44" s="92">
        <f>IF(F_L&lt;0.7,30*LOG10(0.7/F_L),30*LOG10(F_L/0.7))</f>
        <v>2.0614743710837966</v>
      </c>
      <c r="F44" s="92">
        <f>IF(F15&lt;0.7,30*LOG10(0.7/F15),30*LOG10(F15/0.7))</f>
        <v>2.0614743710837966</v>
      </c>
      <c r="G44" s="92">
        <f>IF(G15&lt;0.7,30*LOG10(0.7/G15),30*LOG10(G15/0.7))</f>
        <v>2.0614743710837966</v>
      </c>
      <c r="H44" s="92">
        <f>IF(H15&lt;0.7,30*LOG10(0.7/H15),30*LOG10(H15/0.7))</f>
        <v>2.0614743710837966</v>
      </c>
    </row>
    <row r="45" spans="2:14" ht="15">
      <c r="B45" s="93" t="s">
        <v>14</v>
      </c>
      <c r="C45" s="91" t="s">
        <v>16</v>
      </c>
      <c r="D45" s="91" t="s">
        <v>14</v>
      </c>
      <c r="E45" s="92">
        <f>25*LOG10(D_2)-10+20*LOG10(C_v/D_2^2)</f>
        <v>20.212480110573132</v>
      </c>
      <c r="F45" s="92">
        <f>25*LOG10(F38)-10+20*LOG10(F14/F38^2)</f>
        <v>20.212480110573132</v>
      </c>
      <c r="G45" s="92">
        <f>25*LOG10(G38)-10+20*LOG10(G14/G38^2)</f>
        <v>20.212480110573132</v>
      </c>
      <c r="H45" s="92">
        <f>25*LOG10(H38)-10+20*LOG10(H14/H38^2)</f>
        <v>20.212480110573132</v>
      </c>
    </row>
    <row r="46" spans="2:14" ht="15">
      <c r="B46" s="90" t="s">
        <v>15</v>
      </c>
      <c r="C46" s="91" t="s">
        <v>16</v>
      </c>
      <c r="D46" s="91" t="s">
        <v>15</v>
      </c>
      <c r="E46" s="92">
        <f>35*LOG(P_1)-35</f>
        <v>37.256029622942151</v>
      </c>
      <c r="F46" s="92">
        <f>35*LOG(F35)-35</f>
        <v>37.256029622942151</v>
      </c>
      <c r="G46" s="92">
        <f>35*LOG(G35)-35</f>
        <v>37.256029622942151</v>
      </c>
      <c r="H46" s="92">
        <f>35*LOG(H35)-35</f>
        <v>37.256029622942151</v>
      </c>
    </row>
    <row r="47" spans="2:14" ht="15">
      <c r="B47" s="90" t="s">
        <v>34</v>
      </c>
      <c r="C47" s="91" t="s">
        <v>16</v>
      </c>
      <c r="D47" s="94" t="s">
        <v>18</v>
      </c>
      <c r="E47" s="95">
        <f>27+30+30*LOG(X)+20*LOG(F_d)</f>
        <v>35.927900303521312</v>
      </c>
      <c r="F47" s="95">
        <f>27+30+30*LOG(F43)+20*LOG(F16)</f>
        <v>35.927900303521312</v>
      </c>
      <c r="G47" s="95">
        <f>27+30+30*LOG(G43)+20*LOG(G16)</f>
        <v>35.927900303521312</v>
      </c>
      <c r="H47" s="95">
        <f>27+30+30*LOG(H43)+20*LOG(H16)</f>
        <v>35.927900303521312</v>
      </c>
    </row>
    <row r="48" spans="2:14" ht="15">
      <c r="B48" s="90" t="s">
        <v>35</v>
      </c>
      <c r="C48" s="91"/>
      <c r="D48" s="91" t="s">
        <v>23</v>
      </c>
      <c r="E48" s="92">
        <f>20*LOG(ci/1126)+15*LOG(M/28.97)</f>
        <v>0</v>
      </c>
      <c r="F48" s="92">
        <f>20*LOG(F37/1126)+15*LOG(F9/28.97)</f>
        <v>0</v>
      </c>
      <c r="G48" s="92">
        <f>20*LOG(G37/1126)+15*LOG(G9/28.97)</f>
        <v>0</v>
      </c>
      <c r="H48" s="92">
        <f>20*LOG(H37/1126)+15*LOG(H9/28.97)</f>
        <v>0</v>
      </c>
    </row>
    <row r="49" spans="2:8" ht="17.149999999999999">
      <c r="B49" s="96" t="s">
        <v>36</v>
      </c>
      <c r="C49" s="97" t="s">
        <v>11</v>
      </c>
      <c r="D49" s="97" t="s">
        <v>17</v>
      </c>
      <c r="E49" s="98">
        <f>A+B+C_+DELTA_F_L+G-rw-ps</f>
        <v>92.457884408120378</v>
      </c>
      <c r="F49" s="98">
        <f>F45+F46+F47+F44+F48-F20-F19</f>
        <v>92.457884408120378</v>
      </c>
      <c r="G49" s="98">
        <f>G45+G46+G47+G44+G48-G20-G19</f>
        <v>92.457884408120378</v>
      </c>
      <c r="H49" s="98">
        <f>H45+H46+H47+H44+H48-H20-H19</f>
        <v>92.457884408120378</v>
      </c>
    </row>
    <row r="50" spans="2:8" ht="15">
      <c r="B50" s="136" t="s">
        <v>64</v>
      </c>
      <c r="C50" s="137"/>
      <c r="D50" s="137"/>
      <c r="E50" s="137"/>
    </row>
    <row r="53" spans="2:8">
      <c r="B53" s="2"/>
    </row>
    <row r="54" spans="2:8">
      <c r="B54" s="2"/>
    </row>
    <row r="55" spans="2:8">
      <c r="B55" s="2"/>
    </row>
    <row r="56" spans="2:8">
      <c r="B56" s="2"/>
    </row>
    <row r="57" spans="2:8">
      <c r="B57" s="2"/>
    </row>
    <row r="58" spans="2:8">
      <c r="B58" s="2"/>
    </row>
    <row r="64" spans="2:8">
      <c r="H64" s="8"/>
    </row>
  </sheetData>
  <mergeCells count="5">
    <mergeCell ref="B50:E50"/>
    <mergeCell ref="B32:H32"/>
    <mergeCell ref="E4:H4"/>
    <mergeCell ref="B3:H3"/>
    <mergeCell ref="B33:K33"/>
  </mergeCells>
  <pageMargins left="0.7" right="0.7"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B3FC-A53A-407B-889E-B6DEAEAB730B}">
  <dimension ref="A3:B49"/>
  <sheetViews>
    <sheetView showGridLines="0" showRowColHeaders="0" workbookViewId="0">
      <selection activeCell="B19" sqref="B19"/>
    </sheetView>
  </sheetViews>
  <sheetFormatPr defaultRowHeight="14.15"/>
  <cols>
    <col min="2" max="2" width="72.85546875" customWidth="1"/>
  </cols>
  <sheetData>
    <row r="3" spans="2:2" ht="15.45">
      <c r="B3" s="130" t="s">
        <v>135</v>
      </c>
    </row>
    <row r="4" spans="2:2">
      <c r="B4" s="73"/>
    </row>
    <row r="5" spans="2:2" ht="137.6">
      <c r="B5" s="131" t="s">
        <v>136</v>
      </c>
    </row>
    <row r="6" spans="2:2">
      <c r="B6" s="73"/>
    </row>
    <row r="7" spans="2:2" ht="135">
      <c r="B7" s="131" t="s">
        <v>143</v>
      </c>
    </row>
    <row r="8" spans="2:2">
      <c r="B8" s="73"/>
    </row>
    <row r="9" spans="2:2" ht="75">
      <c r="B9" s="131" t="s">
        <v>137</v>
      </c>
    </row>
    <row r="10" spans="2:2">
      <c r="B10" s="73"/>
    </row>
    <row r="11" spans="2:2" ht="105.45">
      <c r="B11" s="131" t="s">
        <v>141</v>
      </c>
    </row>
    <row r="12" spans="2:2">
      <c r="B12" s="73"/>
    </row>
    <row r="13" spans="2:2" ht="42.45">
      <c r="B13" s="134" t="s">
        <v>142</v>
      </c>
    </row>
    <row r="14" spans="2:2">
      <c r="B14" s="134"/>
    </row>
    <row r="15" spans="2:2" ht="30">
      <c r="B15" s="131" t="s">
        <v>138</v>
      </c>
    </row>
    <row r="16" spans="2:2" ht="15">
      <c r="B16" s="132"/>
    </row>
    <row r="17" spans="1:2" ht="15">
      <c r="B17" s="131" t="s">
        <v>139</v>
      </c>
    </row>
    <row r="18" spans="1:2" ht="28.3">
      <c r="B18" s="133" t="s">
        <v>140</v>
      </c>
    </row>
    <row r="19" spans="1:2">
      <c r="B19" s="73"/>
    </row>
    <row r="21" spans="1:2">
      <c r="B21" s="133"/>
    </row>
    <row r="22" spans="1:2" ht="15">
      <c r="A22" s="131"/>
      <c r="B22" s="135"/>
    </row>
    <row r="23" spans="1:2">
      <c r="A23" s="135"/>
    </row>
    <row r="24" spans="1:2">
      <c r="B24" s="135"/>
    </row>
    <row r="25" spans="1:2">
      <c r="B25" s="133"/>
    </row>
    <row r="26" spans="1:2">
      <c r="B26" s="73"/>
    </row>
    <row r="27" spans="1:2">
      <c r="B27" s="73"/>
    </row>
    <row r="28" spans="1:2">
      <c r="B28" s="73"/>
    </row>
    <row r="29" spans="1:2">
      <c r="B29" s="73"/>
    </row>
    <row r="30" spans="1:2">
      <c r="B30" s="73"/>
    </row>
    <row r="31" spans="1:2">
      <c r="B31" s="73"/>
    </row>
    <row r="32" spans="1:2">
      <c r="B32" s="73"/>
    </row>
    <row r="33" spans="2:2">
      <c r="B33" s="73"/>
    </row>
    <row r="34" spans="2:2">
      <c r="B34" s="73"/>
    </row>
    <row r="35" spans="2:2">
      <c r="B35" s="73"/>
    </row>
    <row r="36" spans="2:2">
      <c r="B36" s="73"/>
    </row>
    <row r="37" spans="2:2">
      <c r="B37" s="73"/>
    </row>
    <row r="38" spans="2:2">
      <c r="B38" s="73"/>
    </row>
    <row r="39" spans="2:2">
      <c r="B39" s="73"/>
    </row>
    <row r="40" spans="2:2">
      <c r="B40" s="73"/>
    </row>
    <row r="41" spans="2:2">
      <c r="B41" s="73"/>
    </row>
    <row r="42" spans="2:2">
      <c r="B42" s="73"/>
    </row>
    <row r="43" spans="2:2">
      <c r="B43" s="73"/>
    </row>
    <row r="44" spans="2:2">
      <c r="B44" s="73"/>
    </row>
    <row r="45" spans="2:2">
      <c r="B45" s="73"/>
    </row>
    <row r="46" spans="2:2">
      <c r="B46" s="73"/>
    </row>
    <row r="47" spans="2:2">
      <c r="B47" s="73"/>
    </row>
    <row r="48" spans="2:2">
      <c r="B48" s="73"/>
    </row>
    <row r="49" spans="2:2">
      <c r="B49" s="73"/>
    </row>
  </sheetData>
  <hyperlinks>
    <hyperlink ref="B18" r:id="rId1" xr:uid="{A381CC33-8CCA-47E4-B327-CC206CE48FD0}"/>
  </hyperlinks>
  <pageMargins left="0.7" right="0.7" top="0.75" bottom="0.75" header="0.3" footer="0.3"/>
  <pageSetup orientation="portrait"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7143-3FA7-4E40-A5E3-C418832AAAE9}">
  <dimension ref="B1:B40"/>
  <sheetViews>
    <sheetView showGridLines="0" topLeftCell="A25" workbookViewId="0">
      <selection activeCell="B1" sqref="B1"/>
    </sheetView>
  </sheetViews>
  <sheetFormatPr defaultRowHeight="14.15"/>
  <cols>
    <col min="2" max="2" width="100.7109375" customWidth="1"/>
  </cols>
  <sheetData>
    <row r="1" spans="2:2" ht="20.149999999999999">
      <c r="B1" s="53" t="s">
        <v>92</v>
      </c>
    </row>
    <row r="2" spans="2:2">
      <c r="B2" t="s">
        <v>39</v>
      </c>
    </row>
    <row r="3" spans="2:2">
      <c r="B3" t="s">
        <v>93</v>
      </c>
    </row>
    <row r="5" spans="2:2">
      <c r="B5" t="s">
        <v>66</v>
      </c>
    </row>
    <row r="6" spans="2:2">
      <c r="B6" s="54" t="s">
        <v>97</v>
      </c>
    </row>
    <row r="7" spans="2:2">
      <c r="B7" s="54" t="s">
        <v>98</v>
      </c>
    </row>
    <row r="8" spans="2:2">
      <c r="B8" s="21" t="s">
        <v>95</v>
      </c>
    </row>
    <row r="9" spans="2:2">
      <c r="B9" s="54" t="s">
        <v>96</v>
      </c>
    </row>
    <row r="11" spans="2:2">
      <c r="B11" s="54" t="s">
        <v>94</v>
      </c>
    </row>
    <row r="12" spans="2:2">
      <c r="B12" s="54" t="s">
        <v>134</v>
      </c>
    </row>
    <row r="15" spans="2:2">
      <c r="B15" s="49" t="s">
        <v>67</v>
      </c>
    </row>
    <row r="16" spans="2:2">
      <c r="B16" s="50" t="s">
        <v>68</v>
      </c>
    </row>
    <row r="17" spans="2:2" ht="16.75">
      <c r="B17" s="50" t="s">
        <v>69</v>
      </c>
    </row>
    <row r="18" spans="2:2" ht="16.75">
      <c r="B18" s="50" t="s">
        <v>70</v>
      </c>
    </row>
    <row r="19" spans="2:2">
      <c r="B19" s="50" t="s">
        <v>71</v>
      </c>
    </row>
    <row r="20" spans="2:2" ht="16.75">
      <c r="B20" s="51" t="s">
        <v>72</v>
      </c>
    </row>
    <row r="21" spans="2:2" ht="16.75">
      <c r="B21" s="51" t="s">
        <v>73</v>
      </c>
    </row>
    <row r="22" spans="2:2">
      <c r="B22" s="50" t="s">
        <v>74</v>
      </c>
    </row>
    <row r="23" spans="2:2">
      <c r="B23" s="49" t="s">
        <v>75</v>
      </c>
    </row>
    <row r="24" spans="2:2" ht="16.75">
      <c r="B24" s="49" t="s">
        <v>76</v>
      </c>
    </row>
    <row r="25" spans="2:2">
      <c r="B25" s="49"/>
    </row>
    <row r="26" spans="2:2">
      <c r="B26" s="49" t="s">
        <v>77</v>
      </c>
    </row>
    <row r="27" spans="2:2">
      <c r="B27" s="50" t="s">
        <v>78</v>
      </c>
    </row>
    <row r="28" spans="2:2">
      <c r="B28" s="50" t="s">
        <v>79</v>
      </c>
    </row>
    <row r="29" spans="2:2">
      <c r="B29" s="50" t="s">
        <v>80</v>
      </c>
    </row>
    <row r="30" spans="2:2" ht="16.75">
      <c r="B30" s="52" t="s">
        <v>81</v>
      </c>
    </row>
    <row r="31" spans="2:2">
      <c r="B31" s="17" t="s">
        <v>82</v>
      </c>
    </row>
    <row r="32" spans="2:2">
      <c r="B32" s="50" t="s">
        <v>83</v>
      </c>
    </row>
    <row r="33" spans="2:2">
      <c r="B33" s="50" t="s">
        <v>84</v>
      </c>
    </row>
    <row r="34" spans="2:2" ht="16.75">
      <c r="B34" s="50" t="s">
        <v>85</v>
      </c>
    </row>
    <row r="35" spans="2:2">
      <c r="B35" s="50" t="s">
        <v>86</v>
      </c>
    </row>
    <row r="36" spans="2:2">
      <c r="B36" s="50" t="s">
        <v>87</v>
      </c>
    </row>
    <row r="37" spans="2:2">
      <c r="B37" s="50" t="s">
        <v>88</v>
      </c>
    </row>
    <row r="38" spans="2:2">
      <c r="B38" s="50" t="s">
        <v>89</v>
      </c>
    </row>
    <row r="39" spans="2:2">
      <c r="B39" s="50" t="s">
        <v>90</v>
      </c>
    </row>
    <row r="40" spans="2:2">
      <c r="B40" s="50"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4950-51F2-4346-AAB9-493CC535B50B}">
  <dimension ref="A1:I49"/>
  <sheetViews>
    <sheetView showGridLines="0" zoomScale="93" zoomScaleNormal="93" workbookViewId="0">
      <selection sqref="A1:F1"/>
    </sheetView>
  </sheetViews>
  <sheetFormatPr defaultRowHeight="14.15"/>
  <cols>
    <col min="1" max="1" width="25.140625" customWidth="1"/>
    <col min="3" max="3" width="7.35546875" customWidth="1"/>
    <col min="5" max="5" width="3.7109375" customWidth="1"/>
  </cols>
  <sheetData>
    <row r="1" spans="1:9" ht="15.45">
      <c r="A1" s="150" t="s">
        <v>99</v>
      </c>
      <c r="B1" s="151"/>
      <c r="C1" s="151"/>
      <c r="D1" s="151"/>
      <c r="E1" s="151"/>
      <c r="F1" s="151"/>
      <c r="G1" s="152" t="s">
        <v>100</v>
      </c>
      <c r="H1" s="152"/>
      <c r="I1" s="152"/>
    </row>
    <row r="2" spans="1:9">
      <c r="H2" s="55"/>
    </row>
    <row r="3" spans="1:9" ht="15.45">
      <c r="A3" s="56" t="s">
        <v>101</v>
      </c>
      <c r="B3" s="153" t="s">
        <v>129</v>
      </c>
      <c r="C3" s="154"/>
      <c r="D3" s="57" t="s">
        <v>102</v>
      </c>
      <c r="E3" s="155"/>
      <c r="F3" s="154"/>
    </row>
    <row r="4" spans="1:9">
      <c r="I4" s="11"/>
    </row>
    <row r="5" spans="1:9">
      <c r="A5" s="156" t="s">
        <v>103</v>
      </c>
      <c r="B5" s="157"/>
      <c r="C5" s="58" t="s">
        <v>104</v>
      </c>
      <c r="I5" s="11"/>
    </row>
    <row r="6" spans="1:9">
      <c r="E6" s="59"/>
      <c r="I6" s="60"/>
    </row>
    <row r="7" spans="1:9">
      <c r="A7" s="61" t="str">
        <f>IF(TEMP_UNITS="F","TEMP. (F)",IF(TEMP_UNITS="C", "TEMP. (C)","TEMP. (K)"))</f>
        <v>TEMP. (F)</v>
      </c>
      <c r="B7" s="22"/>
      <c r="C7" s="62"/>
      <c r="D7" s="62"/>
    </row>
    <row r="8" spans="1:9">
      <c r="A8" s="63">
        <v>68</v>
      </c>
      <c r="B8" s="64"/>
      <c r="C8" s="22"/>
      <c r="D8" s="22"/>
      <c r="F8" s="65" t="s">
        <v>105</v>
      </c>
    </row>
    <row r="9" spans="1:9">
      <c r="C9" s="64"/>
      <c r="D9" s="64"/>
      <c r="F9" s="66" t="s">
        <v>106</v>
      </c>
    </row>
    <row r="10" spans="1:9">
      <c r="A10" s="67" t="s">
        <v>107</v>
      </c>
      <c r="F10" s="68" t="s">
        <v>108</v>
      </c>
    </row>
    <row r="11" spans="1:9">
      <c r="A11" s="69">
        <v>28.97</v>
      </c>
      <c r="F11" s="70" t="s">
        <v>109</v>
      </c>
    </row>
    <row r="13" spans="1:9">
      <c r="A13" s="71" t="s">
        <v>110</v>
      </c>
    </row>
    <row r="14" spans="1:9">
      <c r="A14" s="69">
        <v>1.4</v>
      </c>
    </row>
    <row r="16" spans="1:9">
      <c r="A16" s="61" t="s">
        <v>111</v>
      </c>
      <c r="B16" s="11"/>
    </row>
    <row r="17" spans="1:8">
      <c r="A17" s="72">
        <f>SQRT(8314*Temp._converted_to_K*GAMMA/M)</f>
        <v>343.19403400636639</v>
      </c>
    </row>
    <row r="18" spans="1:8">
      <c r="C18" s="73"/>
      <c r="D18" s="73"/>
      <c r="E18" s="73"/>
    </row>
    <row r="19" spans="1:8">
      <c r="A19" s="61" t="s">
        <v>112</v>
      </c>
      <c r="B19" s="11"/>
      <c r="C19" s="73"/>
      <c r="D19" s="73"/>
      <c r="E19" s="73"/>
    </row>
    <row r="20" spans="1:8">
      <c r="A20" s="72">
        <f>SONIC_VELOCITY__m_s*3.281</f>
        <v>1126.0196255748881</v>
      </c>
      <c r="C20" s="73"/>
      <c r="D20" s="73"/>
      <c r="E20" s="73"/>
    </row>
    <row r="21" spans="1:8">
      <c r="C21" s="73"/>
      <c r="D21" s="73"/>
      <c r="E21" s="73"/>
      <c r="F21" s="73"/>
      <c r="G21" s="73"/>
      <c r="H21" s="73"/>
    </row>
    <row r="22" spans="1:8">
      <c r="A22" s="74" t="s">
        <v>113</v>
      </c>
      <c r="B22" s="11"/>
      <c r="C22" s="73"/>
      <c r="D22" s="73"/>
      <c r="E22" s="73"/>
      <c r="F22" s="73"/>
      <c r="G22" s="73"/>
      <c r="H22" s="73"/>
    </row>
    <row r="23" spans="1:8">
      <c r="A23" s="75">
        <f>IF(TEMP_UNITS="F",((TEMP-32)/1.8)+273.15,IF(TEMP_UNITS="C",TEMP+273.15,TEMP))</f>
        <v>293.14999999999998</v>
      </c>
      <c r="B23" s="73"/>
      <c r="C23" s="73"/>
      <c r="D23" s="73"/>
      <c r="E23" s="73"/>
      <c r="F23" s="73"/>
      <c r="G23" s="73"/>
      <c r="H23" s="73"/>
    </row>
    <row r="24" spans="1:8">
      <c r="C24" s="73"/>
      <c r="D24" s="73"/>
      <c r="E24" s="73"/>
      <c r="F24" s="73"/>
      <c r="G24" s="73"/>
      <c r="H24" s="73"/>
    </row>
    <row r="26" spans="1:8" ht="15">
      <c r="A26" s="76" t="s">
        <v>114</v>
      </c>
      <c r="C26" s="73"/>
      <c r="D26" s="73"/>
      <c r="E26" s="73"/>
    </row>
    <row r="27" spans="1:8" ht="15">
      <c r="A27" s="76" t="s">
        <v>115</v>
      </c>
      <c r="B27" s="73"/>
      <c r="C27" s="73"/>
      <c r="D27" s="73"/>
      <c r="E27" s="73"/>
    </row>
    <row r="28" spans="1:8">
      <c r="B28" s="77"/>
      <c r="C28" s="77"/>
      <c r="D28" s="77"/>
    </row>
    <row r="29" spans="1:8">
      <c r="A29" s="78" t="s">
        <v>116</v>
      </c>
      <c r="B29" s="77"/>
      <c r="C29" s="77"/>
      <c r="D29" s="77"/>
    </row>
    <row r="30" spans="1:8">
      <c r="B30" s="77"/>
      <c r="C30" s="77"/>
      <c r="D30" s="77"/>
    </row>
    <row r="31" spans="1:8">
      <c r="A31" t="s">
        <v>117</v>
      </c>
      <c r="B31" s="77"/>
      <c r="C31" s="77"/>
      <c r="D31" s="77"/>
    </row>
    <row r="32" spans="1:8">
      <c r="A32" t="s">
        <v>118</v>
      </c>
    </row>
    <row r="33" spans="1:4">
      <c r="A33" t="s">
        <v>119</v>
      </c>
      <c r="B33" s="77"/>
      <c r="C33" s="77"/>
      <c r="D33" s="77"/>
    </row>
    <row r="34" spans="1:4">
      <c r="B34" s="77"/>
      <c r="C34" s="77"/>
      <c r="D34" s="77"/>
    </row>
    <row r="35" spans="1:4">
      <c r="A35" t="s">
        <v>120</v>
      </c>
      <c r="B35" s="77"/>
      <c r="C35" s="77"/>
      <c r="D35" s="77"/>
    </row>
    <row r="36" spans="1:4">
      <c r="A36" s="79"/>
      <c r="B36" s="77"/>
      <c r="C36" s="77"/>
      <c r="D36" s="77"/>
    </row>
    <row r="37" spans="1:4">
      <c r="B37" s="77"/>
      <c r="C37" s="77"/>
      <c r="D37" s="77"/>
    </row>
    <row r="38" spans="1:4">
      <c r="B38" s="77"/>
      <c r="C38" s="77"/>
      <c r="D38" s="77"/>
    </row>
    <row r="39" spans="1:4">
      <c r="A39" s="79"/>
      <c r="B39" s="77"/>
      <c r="C39" s="77"/>
      <c r="D39" s="77"/>
    </row>
    <row r="40" spans="1:4">
      <c r="A40" s="79"/>
      <c r="B40" s="77"/>
      <c r="C40" s="77"/>
      <c r="D40" s="77"/>
    </row>
    <row r="41" spans="1:4">
      <c r="A41" s="79" t="s">
        <v>121</v>
      </c>
      <c r="B41" s="77"/>
      <c r="C41" s="77"/>
      <c r="D41" s="77"/>
    </row>
    <row r="42" spans="1:4">
      <c r="A42" s="80" t="s">
        <v>122</v>
      </c>
    </row>
    <row r="43" spans="1:4">
      <c r="A43" s="79" t="s">
        <v>123</v>
      </c>
    </row>
    <row r="44" spans="1:4">
      <c r="A44" s="77" t="s">
        <v>124</v>
      </c>
    </row>
    <row r="45" spans="1:4">
      <c r="A45" s="79" t="s">
        <v>125</v>
      </c>
    </row>
    <row r="46" spans="1:4">
      <c r="A46" s="79"/>
    </row>
    <row r="47" spans="1:4">
      <c r="A47" s="79" t="s">
        <v>126</v>
      </c>
    </row>
    <row r="48" spans="1:4">
      <c r="A48" s="79" t="s">
        <v>127</v>
      </c>
    </row>
    <row r="49" spans="1:1">
      <c r="A49" s="79" t="s">
        <v>128</v>
      </c>
    </row>
  </sheetData>
  <mergeCells count="5">
    <mergeCell ref="A1:F1"/>
    <mergeCell ref="G1:I1"/>
    <mergeCell ref="B3:C3"/>
    <mergeCell ref="E3:F3"/>
    <mergeCell ref="A5:B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30</vt:i4>
      </vt:variant>
    </vt:vector>
  </HeadingPairs>
  <TitlesOfParts>
    <vt:vector size="34" baseType="lpstr">
      <vt:lpstr>Aerodynamic Noise ABC</vt:lpstr>
      <vt:lpstr>About the worksheet</vt:lpstr>
      <vt:lpstr>Calculation Method</vt:lpstr>
      <vt:lpstr>Gas Sonic Vel Calculator</vt:lpstr>
      <vt:lpstr>_c1</vt:lpstr>
      <vt:lpstr>A</vt:lpstr>
      <vt:lpstr>B</vt:lpstr>
      <vt:lpstr>C_</vt:lpstr>
      <vt:lpstr>C_v</vt:lpstr>
      <vt:lpstr>ci</vt:lpstr>
      <vt:lpstr>ci_</vt:lpstr>
      <vt:lpstr>D_2</vt:lpstr>
      <vt:lpstr>D_2_</vt:lpstr>
      <vt:lpstr>DELTA_F_L</vt:lpstr>
      <vt:lpstr>F_d</vt:lpstr>
      <vt:lpstr>F_L</vt:lpstr>
      <vt:lpstr>G</vt:lpstr>
      <vt:lpstr>G1_</vt:lpstr>
      <vt:lpstr>GAMMA</vt:lpstr>
      <vt:lpstr>LpAe1m</vt:lpstr>
      <vt:lpstr>M</vt:lpstr>
      <vt:lpstr>P_1</vt:lpstr>
      <vt:lpstr>P_1_</vt:lpstr>
      <vt:lpstr>P_2</vt:lpstr>
      <vt:lpstr>P_2_</vt:lpstr>
      <vt:lpstr>'Aerodynamic Noise ABC'!Print_Area</vt:lpstr>
      <vt:lpstr>ps</vt:lpstr>
      <vt:lpstr>rw</vt:lpstr>
      <vt:lpstr>SONIC_VELOCITY__m_s</vt:lpstr>
      <vt:lpstr>SPL</vt:lpstr>
      <vt:lpstr>TEMP</vt:lpstr>
      <vt:lpstr>Temp._converted_to_K</vt:lpstr>
      <vt:lpstr>TEMP_UNITS</vt:lpstr>
      <vt:lpstr>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dc:creator>
  <cp:lastModifiedBy>Jon Monsen</cp:lastModifiedBy>
  <cp:lastPrinted>2022-08-27T01:41:16Z</cp:lastPrinted>
  <dcterms:created xsi:type="dcterms:W3CDTF">2019-01-03T21:32:00Z</dcterms:created>
  <dcterms:modified xsi:type="dcterms:W3CDTF">2022-10-23T21:30:15Z</dcterms:modified>
</cp:coreProperties>
</file>